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almaholdingsinc.sharepoint.com/sites/ADV-Marketing/Shared Documents/Marketing Team/Products/EvacGo/Website/Battery Calculator/"/>
    </mc:Choice>
  </mc:AlternateContent>
  <xr:revisionPtr revIDLastSave="0" documentId="14_{67FDF9AB-DB5E-464A-A2A3-1D277C1287DB}" xr6:coauthVersionLast="47" xr6:coauthVersionMax="47" xr10:uidLastSave="{00000000-0000-0000-0000-000000000000}"/>
  <bookViews>
    <workbookView xWindow="1080" yWindow="1080" windowWidth="38700" windowHeight="16275" xr2:uid="{00000000-000D-0000-FFFF-FFFF00000000}"/>
  </bookViews>
  <sheets>
    <sheet name="EACIE" sheetId="1" r:id="rId1"/>
    <sheet name="PSE" sheetId="3" r:id="rId2"/>
    <sheet name="Data" sheetId="2" r:id="rId3"/>
  </sheets>
  <definedNames>
    <definedName name="Apollo">Data!$A:$A</definedName>
    <definedName name="Device">Data!$A$1:$A$2</definedName>
    <definedName name="NBRLED">EACIE!$M$37</definedName>
    <definedName name="_xlnm.Print_Area" localSheetId="0">EACIE!$A$1:$AC$43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N7" i="1"/>
  <c r="M38" i="1" s="1"/>
  <c r="C9" i="1" s="1"/>
  <c r="E9" i="1" s="1"/>
  <c r="C17" i="1"/>
  <c r="E17" i="1" s="1"/>
  <c r="B17" i="1"/>
  <c r="G17" i="1"/>
  <c r="D16" i="1"/>
  <c r="D12" i="1"/>
  <c r="AB13" i="1"/>
  <c r="AA13" i="1"/>
  <c r="Z13" i="1"/>
  <c r="X13" i="1"/>
  <c r="W13" i="1"/>
  <c r="V13" i="1"/>
  <c r="T13" i="1"/>
  <c r="S13" i="1"/>
  <c r="R13" i="1"/>
  <c r="P13" i="1"/>
  <c r="O13" i="1"/>
  <c r="N13" i="1"/>
  <c r="AB12" i="1"/>
  <c r="AA12" i="1"/>
  <c r="Z12" i="1"/>
  <c r="X12" i="1"/>
  <c r="W12" i="1"/>
  <c r="V12" i="1"/>
  <c r="T12" i="1"/>
  <c r="S12" i="1"/>
  <c r="R12" i="1"/>
  <c r="P12" i="1"/>
  <c r="O12" i="1"/>
  <c r="N12" i="1"/>
  <c r="AB11" i="1"/>
  <c r="AA11" i="1"/>
  <c r="Z11" i="1"/>
  <c r="X11" i="1"/>
  <c r="W11" i="1"/>
  <c r="V11" i="1"/>
  <c r="T11" i="1"/>
  <c r="S11" i="1"/>
  <c r="R11" i="1"/>
  <c r="P11" i="1"/>
  <c r="O11" i="1"/>
  <c r="N11" i="1"/>
  <c r="AB9" i="1"/>
  <c r="AA9" i="1"/>
  <c r="Z9" i="1"/>
  <c r="X9" i="1"/>
  <c r="W9" i="1"/>
  <c r="W34" i="1" s="1"/>
  <c r="U39" i="1" s="1"/>
  <c r="F13" i="1" s="1"/>
  <c r="H13" i="1" s="1"/>
  <c r="V9" i="1"/>
  <c r="T9" i="1"/>
  <c r="S9" i="1"/>
  <c r="S34" i="1" s="1"/>
  <c r="Q39" i="1" s="1"/>
  <c r="R9" i="1"/>
  <c r="P9" i="1"/>
  <c r="O9" i="1"/>
  <c r="O34" i="1" s="1"/>
  <c r="M39" i="1" s="1"/>
  <c r="N9" i="1"/>
  <c r="AB8" i="1"/>
  <c r="AA8" i="1"/>
  <c r="Z8" i="1"/>
  <c r="X8" i="1"/>
  <c r="W8" i="1"/>
  <c r="V8" i="1"/>
  <c r="T8" i="1"/>
  <c r="S8" i="1"/>
  <c r="R8" i="1"/>
  <c r="P8" i="1"/>
  <c r="O8" i="1"/>
  <c r="N8" i="1"/>
  <c r="AB7" i="1"/>
  <c r="AA7" i="1"/>
  <c r="Z7" i="1"/>
  <c r="Y38" i="1" s="1"/>
  <c r="X7" i="1"/>
  <c r="W7" i="1"/>
  <c r="V7" i="1"/>
  <c r="T7" i="1"/>
  <c r="S7" i="1"/>
  <c r="R7" i="1"/>
  <c r="Q38" i="1" s="1"/>
  <c r="C11" i="1" s="1"/>
  <c r="E11" i="1" s="1"/>
  <c r="P7" i="1"/>
  <c r="O7" i="1"/>
  <c r="L13" i="1"/>
  <c r="AB10" i="1"/>
  <c r="AA10" i="1"/>
  <c r="Z10" i="1"/>
  <c r="X10" i="1"/>
  <c r="W10" i="1"/>
  <c r="V10" i="1"/>
  <c r="T10" i="1"/>
  <c r="S10" i="1"/>
  <c r="R10" i="1"/>
  <c r="P10" i="1"/>
  <c r="O10" i="1"/>
  <c r="N10" i="1"/>
  <c r="U34" i="1"/>
  <c r="Y34" i="1"/>
  <c r="AC34" i="1"/>
  <c r="AA39" i="1" s="1"/>
  <c r="AC39" i="1"/>
  <c r="L7" i="1"/>
  <c r="L8" i="1"/>
  <c r="L9" i="1"/>
  <c r="L10" i="1"/>
  <c r="L11" i="1"/>
  <c r="L12" i="1"/>
  <c r="E12" i="1"/>
  <c r="D14" i="1"/>
  <c r="E14" i="1" s="1"/>
  <c r="E16" i="1"/>
  <c r="D11" i="1"/>
  <c r="D13" i="1"/>
  <c r="F6" i="3"/>
  <c r="G6" i="3" s="1"/>
  <c r="F5" i="3"/>
  <c r="G5" i="3" s="1"/>
  <c r="D5" i="3"/>
  <c r="D6" i="3"/>
  <c r="F4" i="3"/>
  <c r="G4" i="3" s="1"/>
  <c r="D4" i="3"/>
  <c r="D8" i="3"/>
  <c r="D9" i="3"/>
  <c r="G10" i="3"/>
  <c r="D15" i="1"/>
  <c r="G16" i="1"/>
  <c r="H16" i="1" s="1"/>
  <c r="G14" i="1"/>
  <c r="H14" i="1" s="1"/>
  <c r="G12" i="1"/>
  <c r="H12" i="1" s="1"/>
  <c r="M4" i="1"/>
  <c r="C8" i="1"/>
  <c r="E8" i="1" s="1"/>
  <c r="F8" i="1"/>
  <c r="H8" i="1"/>
  <c r="E10" i="1"/>
  <c r="H10" i="1"/>
  <c r="AF21" i="1"/>
  <c r="AG21" i="1"/>
  <c r="B22" i="1"/>
  <c r="E22" i="1"/>
  <c r="AF22" i="1"/>
  <c r="AG22" i="1"/>
  <c r="E23" i="1"/>
  <c r="H23" i="1"/>
  <c r="AF23" i="1"/>
  <c r="AG23" i="1"/>
  <c r="AF24" i="1"/>
  <c r="AG24" i="1"/>
  <c r="H25" i="1"/>
  <c r="H26" i="1"/>
  <c r="B27" i="1"/>
  <c r="H27" i="1"/>
  <c r="B28" i="1"/>
  <c r="H28" i="1"/>
  <c r="E37" i="1"/>
  <c r="E38" i="1"/>
  <c r="E39" i="1"/>
  <c r="E40" i="1"/>
  <c r="E41" i="1"/>
  <c r="V34" i="1"/>
  <c r="U38" i="1"/>
  <c r="C13" i="1"/>
  <c r="E13" i="1"/>
  <c r="R34" i="1"/>
  <c r="T34" i="1"/>
  <c r="AB34" i="1"/>
  <c r="Z39" i="1" s="1"/>
  <c r="AB39" i="1"/>
  <c r="AA34" i="1"/>
  <c r="Y39" i="1"/>
  <c r="Y40" i="1" s="1"/>
  <c r="C15" i="1"/>
  <c r="E15" i="1"/>
  <c r="N34" i="1"/>
  <c r="F17" i="1"/>
  <c r="H17" i="1"/>
  <c r="U40" i="1" l="1"/>
  <c r="G8" i="3"/>
  <c r="G9" i="3" s="1"/>
  <c r="G11" i="3" s="1"/>
  <c r="G12" i="3" s="1"/>
  <c r="F11" i="1"/>
  <c r="H11" i="1" s="1"/>
  <c r="Q40" i="1"/>
  <c r="F9" i="1"/>
  <c r="H9" i="1" s="1"/>
  <c r="M40" i="1"/>
  <c r="E29" i="1"/>
  <c r="E30" i="1" s="1"/>
  <c r="H31" i="1" s="1"/>
  <c r="F15" i="1"/>
  <c r="H15" i="1" s="1"/>
  <c r="H29" i="1" s="1"/>
  <c r="H30" i="1" s="1"/>
  <c r="H32" i="1" s="1"/>
  <c r="H33" i="1" s="1"/>
  <c r="C42" i="1" s="1"/>
  <c r="E42" i="1" s="1"/>
  <c r="W39" i="1"/>
  <c r="X34" i="1"/>
  <c r="V39" i="1" s="1"/>
  <c r="Z34" i="1"/>
  <c r="X39" i="1" s="1"/>
</calcChain>
</file>

<file path=xl/sharedStrings.xml><?xml version="1.0" encoding="utf-8"?>
<sst xmlns="http://schemas.openxmlformats.org/spreadsheetml/2006/main" count="134" uniqueCount="77">
  <si>
    <t>NONE</t>
  </si>
  <si>
    <t>DEVICE</t>
  </si>
  <si>
    <t>DESCRIPTION</t>
  </si>
  <si>
    <t>Alarm Load</t>
  </si>
  <si>
    <t>Quiescent Load</t>
  </si>
  <si>
    <t>Loop / Load Status</t>
  </si>
  <si>
    <t>Project</t>
  </si>
  <si>
    <t>Completed by</t>
  </si>
  <si>
    <t>Date</t>
  </si>
  <si>
    <t>Fire Alarm Load</t>
  </si>
  <si>
    <t>I(A)</t>
  </si>
  <si>
    <t>X</t>
  </si>
  <si>
    <t>Total</t>
  </si>
  <si>
    <t>Sensor  / Loop Current*</t>
  </si>
  <si>
    <r>
      <t xml:space="preserve">Loop Driver </t>
    </r>
    <r>
      <rPr>
        <b/>
        <i/>
        <sz val="8"/>
        <rFont val="Arial"/>
        <family val="2"/>
      </rPr>
      <t>Loop 1</t>
    </r>
  </si>
  <si>
    <r>
      <t xml:space="preserve">Loop Driver </t>
    </r>
    <r>
      <rPr>
        <b/>
        <i/>
        <sz val="8"/>
        <rFont val="Arial"/>
        <family val="2"/>
      </rPr>
      <t>Loop 2</t>
    </r>
  </si>
  <si>
    <r>
      <t xml:space="preserve">Loop Driver </t>
    </r>
    <r>
      <rPr>
        <b/>
        <i/>
        <sz val="8"/>
        <rFont val="Arial"/>
        <family val="2"/>
      </rPr>
      <t>Loop 3</t>
    </r>
  </si>
  <si>
    <r>
      <t xml:space="preserve">Loop Driver </t>
    </r>
    <r>
      <rPr>
        <b/>
        <i/>
        <sz val="8"/>
        <rFont val="Arial"/>
        <family val="2"/>
      </rPr>
      <t>Loop 4</t>
    </r>
  </si>
  <si>
    <t>Sounder Output A</t>
  </si>
  <si>
    <t>Sounder Output B</t>
  </si>
  <si>
    <t>ΣAlarm Load</t>
  </si>
  <si>
    <t xml:space="preserve">Standby Duration (hours) = </t>
  </si>
  <si>
    <t>Hr</t>
  </si>
  <si>
    <t>→ (carry forward) +</t>
  </si>
  <si>
    <t>Total Load (Quiescent + Alarm) =</t>
  </si>
  <si>
    <t>X 1.25 (Battery De-rating factor)** =</t>
  </si>
  <si>
    <t>Chassis</t>
  </si>
  <si>
    <t>Q</t>
  </si>
  <si>
    <t>A</t>
  </si>
  <si>
    <t>NETWORK</t>
  </si>
  <si>
    <t>LCD DIMMING MODE</t>
  </si>
  <si>
    <t>OFF</t>
  </si>
  <si>
    <t>DIM</t>
  </si>
  <si>
    <t>ON</t>
  </si>
  <si>
    <t>MXP-509</t>
  </si>
  <si>
    <t>MXP-503</t>
  </si>
  <si>
    <t>MXP-507</t>
  </si>
  <si>
    <t>MXP-532</t>
  </si>
  <si>
    <t>MXP-512</t>
  </si>
  <si>
    <t>MXP-504</t>
  </si>
  <si>
    <t>MXP-504/508</t>
  </si>
  <si>
    <t>ANCILLARY SUPPLY OUTPUT (AUX)</t>
  </si>
  <si>
    <t>MINIMUM ENCLOSURE</t>
  </si>
  <si>
    <t>OPTIONS:</t>
  </si>
  <si>
    <t>ΣQuiescent Load</t>
  </si>
  <si>
    <t>F200</t>
  </si>
  <si>
    <t>MXP-536</t>
  </si>
  <si>
    <t>MXP-537</t>
  </si>
  <si>
    <t>MXP-547</t>
  </si>
  <si>
    <t>Relay Output Module</t>
  </si>
  <si>
    <t>Weighting</t>
  </si>
  <si>
    <t>Wireless Translator Module</t>
  </si>
  <si>
    <t>LP 1</t>
  </si>
  <si>
    <t>LP 3</t>
  </si>
  <si>
    <t>LP 4</t>
  </si>
  <si>
    <t>Fitted</t>
  </si>
  <si>
    <t>LP 2</t>
  </si>
  <si>
    <t>NotFit</t>
  </si>
  <si>
    <t>X(1.75 x 0.5) =</t>
  </si>
  <si>
    <t>Mxp-536</t>
  </si>
  <si>
    <t>Mxp-537</t>
  </si>
  <si>
    <t>Mxp-539</t>
  </si>
  <si>
    <t>AXIS-CWS + WSM</t>
  </si>
  <si>
    <t>AXIS-CWSV + WSM</t>
  </si>
  <si>
    <t>Axis Wall Sounder &amp; Intelligent Module</t>
  </si>
  <si>
    <t>Axis Wall Sounder VAD &amp; Intelligent Module</t>
  </si>
  <si>
    <t>EACIE PANEL</t>
  </si>
  <si>
    <t>VMC120-ADV</t>
  </si>
  <si>
    <t>VW2W100-ADV</t>
  </si>
  <si>
    <t>PSE</t>
  </si>
  <si>
    <t>20-LVMX100-BX</t>
  </si>
  <si>
    <t>20-DLVMX100-BX</t>
  </si>
  <si>
    <t>Single Boxed Isolator Module</t>
  </si>
  <si>
    <t>Dual Boxed Isolator Module</t>
  </si>
  <si>
    <t>LVM100-ADV</t>
  </si>
  <si>
    <t>Isolator Module (Un-boxed</t>
  </si>
  <si>
    <t>REV: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</si>
</sst>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0"/>
    <numFmt numFmtId="167" formatCode="mmmm\ d\,\ yyyy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12"/>
      <name val="Arial"/>
      <family val="2"/>
    </font>
    <font>
      <sz val="8.5"/>
      <name val="Arial"/>
      <family val="2"/>
    </font>
    <font>
      <sz val="10"/>
      <color theme="0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8" xfId="0" applyBorder="1"/>
    <xf numFmtId="164" fontId="0" fillId="0" borderId="1" xfId="0" applyNumberFormat="1" applyBorder="1"/>
    <xf numFmtId="0" fontId="6" fillId="0" borderId="1" xfId="0" applyFont="1" applyBorder="1"/>
    <xf numFmtId="164" fontId="0" fillId="0" borderId="0" xfId="0" applyNumberFormat="1"/>
    <xf numFmtId="0" fontId="0" fillId="0" borderId="0" xfId="0" applyAlignment="1">
      <alignment horizontal="right"/>
    </xf>
    <xf numFmtId="164" fontId="0" fillId="2" borderId="0" xfId="0" applyNumberFormat="1" applyFill="1"/>
    <xf numFmtId="0" fontId="0" fillId="2" borderId="9" xfId="0" applyFill="1" applyBorder="1"/>
    <xf numFmtId="164" fontId="0" fillId="2" borderId="10" xfId="0" applyNumberFormat="1" applyFill="1" applyBorder="1"/>
    <xf numFmtId="164" fontId="0" fillId="2" borderId="4" xfId="0" applyNumberFormat="1" applyFill="1" applyBorder="1"/>
    <xf numFmtId="164" fontId="0" fillId="0" borderId="3" xfId="0" applyNumberFormat="1" applyBorder="1"/>
    <xf numFmtId="165" fontId="0" fillId="0" borderId="1" xfId="0" applyNumberFormat="1" applyBorder="1"/>
    <xf numFmtId="165" fontId="3" fillId="0" borderId="1" xfId="0" applyNumberFormat="1" applyFont="1" applyBorder="1"/>
    <xf numFmtId="165" fontId="0" fillId="0" borderId="4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6" fillId="3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6" fontId="0" fillId="0" borderId="0" xfId="0" applyNumberFormat="1"/>
    <xf numFmtId="2" fontId="2" fillId="4" borderId="4" xfId="0" applyNumberFormat="1" applyFont="1" applyFill="1" applyBorder="1" applyAlignment="1">
      <alignment horizontal="right"/>
    </xf>
    <xf numFmtId="0" fontId="5" fillId="0" borderId="2" xfId="0" applyFont="1" applyBorder="1"/>
    <xf numFmtId="0" fontId="2" fillId="0" borderId="6" xfId="0" applyFont="1" applyBorder="1"/>
    <xf numFmtId="0" fontId="2" fillId="0" borderId="3" xfId="0" applyFont="1" applyBorder="1"/>
    <xf numFmtId="2" fontId="2" fillId="0" borderId="4" xfId="0" applyNumberFormat="1" applyFont="1" applyBorder="1"/>
    <xf numFmtId="2" fontId="2" fillId="0" borderId="3" xfId="0" applyNumberFormat="1" applyFont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0" xfId="0" applyFill="1"/>
    <xf numFmtId="0" fontId="0" fillId="5" borderId="16" xfId="0" applyFill="1" applyBorder="1"/>
    <xf numFmtId="0" fontId="0" fillId="5" borderId="16" xfId="0" applyFill="1" applyBorder="1" applyProtection="1">
      <protection locked="0"/>
    </xf>
    <xf numFmtId="0" fontId="2" fillId="5" borderId="16" xfId="0" applyFont="1" applyFill="1" applyBorder="1"/>
    <xf numFmtId="0" fontId="2" fillId="5" borderId="16" xfId="0" applyFont="1" applyFill="1" applyBorder="1" applyAlignment="1">
      <alignment horizontal="center"/>
    </xf>
    <xf numFmtId="164" fontId="0" fillId="5" borderId="16" xfId="0" applyNumberFormat="1" applyFill="1" applyBorder="1"/>
    <xf numFmtId="0" fontId="0" fillId="5" borderId="16" xfId="0" applyFill="1" applyBorder="1" applyAlignment="1">
      <alignment horizontal="right"/>
    </xf>
    <xf numFmtId="2" fontId="2" fillId="5" borderId="16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5" borderId="9" xfId="0" applyFill="1" applyBorder="1"/>
    <xf numFmtId="164" fontId="0" fillId="5" borderId="0" xfId="0" applyNumberFormat="1" applyFill="1"/>
    <xf numFmtId="49" fontId="3" fillId="5" borderId="9" xfId="0" applyNumberFormat="1" applyFont="1" applyFill="1" applyBorder="1"/>
    <xf numFmtId="0" fontId="3" fillId="5" borderId="9" xfId="0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7" fillId="5" borderId="0" xfId="0" applyFont="1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Protection="1">
      <protection locked="0"/>
    </xf>
    <xf numFmtId="0" fontId="3" fillId="0" borderId="4" xfId="0" applyFont="1" applyBorder="1" applyAlignment="1">
      <alignment horizontal="right"/>
    </xf>
    <xf numFmtId="0" fontId="3" fillId="0" borderId="1" xfId="0" applyFont="1" applyBorder="1" applyProtection="1">
      <protection locked="0"/>
    </xf>
    <xf numFmtId="0" fontId="8" fillId="0" borderId="0" xfId="0" applyFont="1"/>
    <xf numFmtId="49" fontId="8" fillId="0" borderId="0" xfId="0" applyNumberFormat="1" applyFont="1"/>
    <xf numFmtId="164" fontId="0" fillId="7" borderId="3" xfId="0" applyNumberFormat="1" applyFill="1" applyBorder="1"/>
    <xf numFmtId="165" fontId="0" fillId="7" borderId="1" xfId="0" applyNumberForma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49" fontId="2" fillId="8" borderId="1" xfId="0" applyNumberFormat="1" applyFont="1" applyFill="1" applyBorder="1" applyProtection="1">
      <protection locked="0"/>
    </xf>
    <xf numFmtId="0" fontId="1" fillId="9" borderId="1" xfId="0" applyFont="1" applyFill="1" applyBorder="1"/>
    <xf numFmtId="165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10" borderId="0" xfId="0" applyFill="1"/>
    <xf numFmtId="0" fontId="9" fillId="10" borderId="0" xfId="0" applyFont="1" applyFill="1"/>
    <xf numFmtId="0" fontId="9" fillId="5" borderId="0" xfId="0" applyFont="1" applyFill="1"/>
    <xf numFmtId="0" fontId="3" fillId="0" borderId="0" xfId="0" applyFont="1"/>
    <xf numFmtId="0" fontId="9" fillId="10" borderId="0" xfId="0" applyFont="1" applyFill="1" applyProtection="1">
      <protection locked="0"/>
    </xf>
    <xf numFmtId="1" fontId="9" fillId="10" borderId="0" xfId="0" applyNumberFormat="1" applyFont="1" applyFill="1" applyProtection="1">
      <protection locked="0"/>
    </xf>
    <xf numFmtId="164" fontId="9" fillId="10" borderId="0" xfId="0" applyNumberFormat="1" applyFont="1" applyFill="1"/>
    <xf numFmtId="0" fontId="0" fillId="10" borderId="13" xfId="0" applyFill="1" applyBorder="1"/>
    <xf numFmtId="0" fontId="0" fillId="10" borderId="16" xfId="0" applyFill="1" applyBorder="1"/>
    <xf numFmtId="0" fontId="0" fillId="10" borderId="17" xfId="0" applyFill="1" applyBorder="1"/>
    <xf numFmtId="165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10" fillId="10" borderId="0" xfId="0" applyFont="1" applyFill="1"/>
    <xf numFmtId="1" fontId="10" fillId="10" borderId="0" xfId="0" applyNumberFormat="1" applyFont="1" applyFill="1"/>
    <xf numFmtId="164" fontId="10" fillId="10" borderId="0" xfId="0" applyNumberFormat="1" applyFont="1" applyFill="1"/>
    <xf numFmtId="0" fontId="10" fillId="5" borderId="0" xfId="0" applyFont="1" applyFill="1"/>
    <xf numFmtId="164" fontId="10" fillId="5" borderId="0" xfId="0" applyNumberFormat="1" applyFont="1" applyFill="1"/>
    <xf numFmtId="0" fontId="3" fillId="9" borderId="1" xfId="0" applyFont="1" applyFill="1" applyBorder="1" applyProtection="1">
      <protection locked="0"/>
    </xf>
    <xf numFmtId="0" fontId="7" fillId="5" borderId="5" xfId="0" applyFont="1" applyFill="1" applyBorder="1"/>
    <xf numFmtId="0" fontId="9" fillId="10" borderId="0" xfId="0" applyFont="1" applyFill="1" applyAlignment="1" applyProtection="1">
      <alignment horizontal="right"/>
      <protection locked="0"/>
    </xf>
    <xf numFmtId="0" fontId="9" fillId="10" borderId="0" xfId="0" applyFont="1" applyFill="1"/>
    <xf numFmtId="0" fontId="2" fillId="3" borderId="6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3" fillId="3" borderId="6" xfId="0" applyFont="1" applyFill="1" applyBorder="1" applyProtection="1">
      <protection locked="0"/>
    </xf>
    <xf numFmtId="167" fontId="0" fillId="3" borderId="6" xfId="0" applyNumberFormat="1" applyFill="1" applyBorder="1" applyProtection="1">
      <protection locked="0"/>
    </xf>
    <xf numFmtId="167" fontId="0" fillId="0" borderId="3" xfId="0" applyNumberFormat="1" applyBorder="1" applyProtection="1">
      <protection locked="0"/>
    </xf>
    <xf numFmtId="0" fontId="0" fillId="9" borderId="1" xfId="0" applyFill="1" applyBorder="1" applyAlignment="1" applyProtection="1">
      <alignment horizontal="right"/>
      <protection locked="0"/>
    </xf>
  </cellXfs>
  <cellStyles count="1">
    <cellStyle name="Normal" xfId="0" builtinId="0"/>
  </cellStyles>
  <dxfs count="4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22"/>
      </font>
      <fill>
        <patternFill>
          <bgColor indexed="2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 val="0"/>
        <i val="0"/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 patternType="solid"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4"/>
  <sheetViews>
    <sheetView tabSelected="1" zoomScaleNormal="100" zoomScaleSheetLayoutView="100" workbookViewId="0">
      <selection activeCell="C36" sqref="C36:D36"/>
    </sheetView>
  </sheetViews>
  <sheetFormatPr defaultRowHeight="12.75" x14ac:dyDescent="0.2"/>
  <cols>
    <col min="1" max="1" width="1.7109375" customWidth="1"/>
    <col min="2" max="2" width="27.5703125" bestFit="1" customWidth="1"/>
    <col min="3" max="8" width="8.7109375" customWidth="1"/>
    <col min="9" max="10" width="1.7109375" customWidth="1"/>
    <col min="11" max="11" width="18.7109375" customWidth="1"/>
    <col min="12" max="12" width="37.28515625" customWidth="1"/>
    <col min="13" max="13" width="8.28515625" bestFit="1" customWidth="1"/>
    <col min="14" max="15" width="6.5703125" hidden="1" customWidth="1"/>
    <col min="16" max="16" width="9.28515625" hidden="1" customWidth="1"/>
    <col min="17" max="17" width="8.28515625" bestFit="1" customWidth="1"/>
    <col min="18" max="19" width="6.5703125" hidden="1" customWidth="1"/>
    <col min="20" max="20" width="9.28515625" hidden="1" customWidth="1"/>
    <col min="21" max="21" width="8.28515625" bestFit="1" customWidth="1"/>
    <col min="22" max="23" width="6.5703125" hidden="1" customWidth="1"/>
    <col min="24" max="24" width="9.28515625" hidden="1" customWidth="1"/>
    <col min="25" max="25" width="8.28515625" bestFit="1" customWidth="1"/>
    <col min="26" max="27" width="6.5703125" hidden="1" customWidth="1"/>
    <col min="28" max="28" width="9.28515625" hidden="1" customWidth="1"/>
    <col min="29" max="29" width="6.5703125" hidden="1" customWidth="1"/>
    <col min="30" max="30" width="1.85546875" customWidth="1"/>
    <col min="31" max="31" width="12" bestFit="1" customWidth="1"/>
    <col min="32" max="34" width="9.140625" customWidth="1"/>
    <col min="35" max="35" width="9.140625" style="64" customWidth="1"/>
  </cols>
  <sheetData>
    <row r="1" spans="1:36" x14ac:dyDescent="0.2">
      <c r="A1" s="39"/>
      <c r="B1" s="40"/>
      <c r="C1" s="40"/>
      <c r="D1" s="40"/>
      <c r="E1" s="40"/>
      <c r="F1" s="40"/>
      <c r="G1" s="40"/>
      <c r="H1" s="40"/>
      <c r="I1" s="41"/>
      <c r="J1" s="39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D1" s="80"/>
    </row>
    <row r="2" spans="1:36" x14ac:dyDescent="0.2">
      <c r="A2" s="42"/>
      <c r="B2" s="1" t="s">
        <v>6</v>
      </c>
      <c r="C2" s="95"/>
      <c r="D2" s="96"/>
      <c r="E2" s="96"/>
      <c r="F2" s="96"/>
      <c r="G2" s="96"/>
      <c r="H2" s="97"/>
      <c r="I2" s="45"/>
      <c r="J2" s="4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5"/>
      <c r="AD2" s="81"/>
      <c r="AE2" s="64"/>
      <c r="AF2" s="64"/>
      <c r="AG2" s="64"/>
      <c r="AH2" s="64"/>
      <c r="AJ2" s="64"/>
    </row>
    <row r="3" spans="1:36" x14ac:dyDescent="0.2">
      <c r="A3" s="42"/>
      <c r="B3" s="2" t="s">
        <v>7</v>
      </c>
      <c r="C3" s="98"/>
      <c r="D3" s="96"/>
      <c r="E3" s="97"/>
      <c r="F3" s="3" t="s">
        <v>8</v>
      </c>
      <c r="G3" s="99"/>
      <c r="H3" s="100"/>
      <c r="I3" s="45"/>
      <c r="J3" s="4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81"/>
      <c r="AE3" s="64"/>
      <c r="AF3" s="64"/>
      <c r="AG3" s="64"/>
      <c r="AH3" s="64"/>
      <c r="AJ3" s="64"/>
    </row>
    <row r="4" spans="1:36" x14ac:dyDescent="0.2">
      <c r="A4" s="42"/>
      <c r="B4" s="44"/>
      <c r="C4" s="44"/>
      <c r="D4" s="44"/>
      <c r="E4" s="44"/>
      <c r="F4" s="44"/>
      <c r="G4" s="44"/>
      <c r="H4" s="44"/>
      <c r="I4" s="45"/>
      <c r="J4" s="42"/>
      <c r="K4" s="44"/>
      <c r="L4" s="44"/>
      <c r="M4" s="92" t="str">
        <f>IF(B7=5400,"Select Fitted / NotFit to add / remove loop driver",IF(B7=5200,"Select Fitted / NotFit to add / remove loop driver",""))</f>
        <v>Select Fitted / NotFit to add / remove loop driver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58"/>
      <c r="AC4" s="45"/>
      <c r="AD4" s="81"/>
      <c r="AE4" s="64"/>
      <c r="AF4" s="64"/>
      <c r="AG4" s="64"/>
      <c r="AH4" s="64"/>
      <c r="AJ4" s="64"/>
    </row>
    <row r="5" spans="1:36" x14ac:dyDescent="0.2">
      <c r="A5" s="42"/>
      <c r="B5" s="44"/>
      <c r="C5" s="44"/>
      <c r="D5" s="44"/>
      <c r="E5" s="44"/>
      <c r="F5" s="44"/>
      <c r="G5" s="44"/>
      <c r="H5" s="44"/>
      <c r="I5" s="46"/>
      <c r="J5" s="42"/>
      <c r="K5" s="44"/>
      <c r="L5" s="44"/>
      <c r="M5" s="60" t="s">
        <v>52</v>
      </c>
      <c r="N5" s="59"/>
      <c r="O5" s="59"/>
      <c r="P5" s="59"/>
      <c r="Q5" s="60" t="s">
        <v>56</v>
      </c>
      <c r="R5" s="59"/>
      <c r="S5" s="59"/>
      <c r="T5" s="59"/>
      <c r="U5" s="60" t="s">
        <v>53</v>
      </c>
      <c r="V5" s="59"/>
      <c r="W5" s="59"/>
      <c r="X5" s="59"/>
      <c r="Y5" s="60" t="s">
        <v>54</v>
      </c>
      <c r="Z5" s="3"/>
      <c r="AA5" s="3"/>
      <c r="AC5" s="45"/>
      <c r="AD5" s="81"/>
      <c r="AE5" s="64"/>
      <c r="AF5" s="64"/>
      <c r="AG5" s="64"/>
      <c r="AH5" s="64"/>
      <c r="AJ5" s="64"/>
    </row>
    <row r="6" spans="1:36" x14ac:dyDescent="0.2">
      <c r="A6" s="42"/>
      <c r="B6" s="1" t="s">
        <v>66</v>
      </c>
      <c r="C6" s="3"/>
      <c r="D6" s="5" t="s">
        <v>4</v>
      </c>
      <c r="E6" s="1"/>
      <c r="F6" s="3"/>
      <c r="G6" s="5" t="s">
        <v>9</v>
      </c>
      <c r="H6" s="1"/>
      <c r="I6" s="46"/>
      <c r="J6" s="42"/>
      <c r="K6" s="3" t="s">
        <v>1</v>
      </c>
      <c r="L6" s="3" t="s">
        <v>2</v>
      </c>
      <c r="M6" s="63" t="s">
        <v>55</v>
      </c>
      <c r="N6" s="3" t="s">
        <v>27</v>
      </c>
      <c r="O6" s="3" t="s">
        <v>28</v>
      </c>
      <c r="P6" s="3" t="s">
        <v>50</v>
      </c>
      <c r="Q6" s="61" t="s">
        <v>55</v>
      </c>
      <c r="R6" s="3" t="s">
        <v>27</v>
      </c>
      <c r="S6" s="3" t="s">
        <v>28</v>
      </c>
      <c r="T6" s="3" t="s">
        <v>50</v>
      </c>
      <c r="U6" s="61" t="s">
        <v>55</v>
      </c>
      <c r="V6" s="3" t="s">
        <v>27</v>
      </c>
      <c r="W6" s="3" t="s">
        <v>28</v>
      </c>
      <c r="X6" s="3" t="s">
        <v>50</v>
      </c>
      <c r="Y6" s="61" t="s">
        <v>55</v>
      </c>
      <c r="Z6" s="3" t="s">
        <v>27</v>
      </c>
      <c r="AA6" s="3" t="s">
        <v>28</v>
      </c>
      <c r="AB6" s="3" t="s">
        <v>50</v>
      </c>
      <c r="AC6" s="45"/>
      <c r="AD6" s="81"/>
      <c r="AE6" s="64"/>
      <c r="AF6" s="64" t="s">
        <v>27</v>
      </c>
      <c r="AG6" s="64" t="s">
        <v>28</v>
      </c>
      <c r="AH6" s="64"/>
      <c r="AJ6" s="64"/>
    </row>
    <row r="7" spans="1:36" x14ac:dyDescent="0.2">
      <c r="A7" s="42"/>
      <c r="B7" s="69">
        <v>5400</v>
      </c>
      <c r="C7" s="5" t="s">
        <v>10</v>
      </c>
      <c r="D7" s="5" t="s">
        <v>11</v>
      </c>
      <c r="E7" s="5" t="s">
        <v>12</v>
      </c>
      <c r="F7" s="5" t="s">
        <v>10</v>
      </c>
      <c r="G7" s="5" t="s">
        <v>11</v>
      </c>
      <c r="H7" s="5" t="s">
        <v>12</v>
      </c>
      <c r="I7" s="45"/>
      <c r="J7" s="42"/>
      <c r="K7" s="84" t="s">
        <v>62</v>
      </c>
      <c r="L7" s="3" t="str">
        <f>VLOOKUP(K7,Data!A:D,2,L17)</f>
        <v>Axis Wall Sounder &amp; Intelligent Module</v>
      </c>
      <c r="M7" s="31">
        <v>0</v>
      </c>
      <c r="N7" s="16">
        <f>SUM(M7*VLOOKUP($K7,Data!$A:$D,3,FALSE))</f>
        <v>0</v>
      </c>
      <c r="O7" s="16">
        <f>SUM(M7*VLOOKUP($K7,Data!$A:$D,4,FALSE))</f>
        <v>0</v>
      </c>
      <c r="P7" s="16">
        <f>SUM(M7*VLOOKUP($K7,Data!$A:$E,5,FALSE))</f>
        <v>0</v>
      </c>
      <c r="Q7" s="31">
        <v>0</v>
      </c>
      <c r="R7" s="16">
        <f>SUM(Q7*VLOOKUP($K7,Data!$A:$D,3,FALSE))</f>
        <v>0</v>
      </c>
      <c r="S7" s="16">
        <f>SUM(Q7*VLOOKUP($K7,Data!$A:$D,4,FALSE))</f>
        <v>0</v>
      </c>
      <c r="T7" s="16">
        <f>SUM(Q7*VLOOKUP($K7,Data!$A:$E,5,FALSE))</f>
        <v>0</v>
      </c>
      <c r="U7" s="31">
        <v>0</v>
      </c>
      <c r="V7" s="16">
        <f>SUM(U7*VLOOKUP($K7,Data!$A:$D,3,FALSE))</f>
        <v>0</v>
      </c>
      <c r="W7" s="16">
        <f>SUM(U7*VLOOKUP($K7,Data!$A:$D,4,FALSE))</f>
        <v>0</v>
      </c>
      <c r="X7" s="16">
        <f>SUM(U7*VLOOKUP($K7,Data!$A:$E,5,FALSE))</f>
        <v>0</v>
      </c>
      <c r="Y7" s="31">
        <v>0</v>
      </c>
      <c r="Z7" s="16">
        <f>SUM(Y7*VLOOKUP($K7,Data!$A:$D,3,FALSE))</f>
        <v>0</v>
      </c>
      <c r="AA7" s="16">
        <f>SUM(Y7*VLOOKUP($K7,Data!$A:$D,4,FALSE))</f>
        <v>0</v>
      </c>
      <c r="AB7" s="16">
        <f>SUM(Y7*VLOOKUP($K7,Data!$A:$E,5,FALSE))</f>
        <v>0</v>
      </c>
      <c r="AC7" s="45"/>
      <c r="AD7" s="81"/>
      <c r="AE7" s="64" t="s">
        <v>31</v>
      </c>
      <c r="AF7" s="64">
        <v>7.1999999999999995E-2</v>
      </c>
      <c r="AG7" s="64">
        <v>0.125</v>
      </c>
      <c r="AH7" s="64"/>
      <c r="AJ7" s="64"/>
    </row>
    <row r="8" spans="1:36" x14ac:dyDescent="0.2">
      <c r="A8" s="42"/>
      <c r="B8" s="6" t="s">
        <v>26</v>
      </c>
      <c r="C8" s="25">
        <f>IF($C35="on",$AF9,IF($C35="dim",$AF8,IF($C35="off",$AF7,10)))</f>
        <v>7.1999999999999995E-2</v>
      </c>
      <c r="D8" s="3">
        <v>1</v>
      </c>
      <c r="E8" s="25">
        <f>C8*D8</f>
        <v>7.1999999999999995E-2</v>
      </c>
      <c r="F8" s="25">
        <f>IF($C35="on",$AG9,IF($C35="dim",$AG8,IF($C35="off",$AG7,10)))</f>
        <v>0.125</v>
      </c>
      <c r="G8" s="3">
        <v>1</v>
      </c>
      <c r="H8" s="25">
        <f>F8*G8</f>
        <v>0.125</v>
      </c>
      <c r="I8" s="45"/>
      <c r="J8" s="42"/>
      <c r="K8" s="84" t="s">
        <v>63</v>
      </c>
      <c r="L8" s="3" t="str">
        <f>VLOOKUP(K8,Data!A:D,2,L18)</f>
        <v>Axis Wall Sounder VAD &amp; Intelligent Module</v>
      </c>
      <c r="M8" s="31">
        <v>0</v>
      </c>
      <c r="N8" s="16">
        <f>SUM(M8*VLOOKUP($K8,Data!$A:$D,3,FALSE))</f>
        <v>0</v>
      </c>
      <c r="O8" s="16">
        <f>SUM(M8*VLOOKUP($K8,Data!$A:$D,4,FALSE))</f>
        <v>0</v>
      </c>
      <c r="P8" s="16">
        <f>SUM(M8*VLOOKUP($K8,Data!$A:$E,5,FALSE))</f>
        <v>0</v>
      </c>
      <c r="Q8" s="31">
        <v>0</v>
      </c>
      <c r="R8" s="16">
        <f>SUM(Q8*VLOOKUP($K8,Data!$A:$D,3,FALSE))</f>
        <v>0</v>
      </c>
      <c r="S8" s="16">
        <f>SUM(Q8*VLOOKUP($K8,Data!$A:$D,4,FALSE))</f>
        <v>0</v>
      </c>
      <c r="T8" s="16">
        <f>SUM(Q8*VLOOKUP($K8,Data!$A:$E,5,FALSE))</f>
        <v>0</v>
      </c>
      <c r="U8" s="31">
        <v>0</v>
      </c>
      <c r="V8" s="16">
        <f>SUM(U8*VLOOKUP($K8,Data!$A:$D,3,FALSE))</f>
        <v>0</v>
      </c>
      <c r="W8" s="16">
        <f>SUM(U8*VLOOKUP($K8,Data!$A:$D,4,FALSE))</f>
        <v>0</v>
      </c>
      <c r="X8" s="16">
        <f>SUM(U8*VLOOKUP($K8,Data!$A:$E,5,FALSE))</f>
        <v>0</v>
      </c>
      <c r="Y8" s="31">
        <v>0</v>
      </c>
      <c r="Z8" s="16">
        <f>SUM(Y8*VLOOKUP($K8,Data!$A:$D,3,FALSE))</f>
        <v>0</v>
      </c>
      <c r="AA8" s="16">
        <f>SUM(Y8*VLOOKUP($K8,Data!$A:$D,4,FALSE))</f>
        <v>0</v>
      </c>
      <c r="AB8" s="16">
        <f>SUM(Y8*VLOOKUP($K8,Data!$A:$E,5,FALSE))</f>
        <v>0</v>
      </c>
      <c r="AC8" s="45"/>
      <c r="AD8" s="81"/>
      <c r="AE8" s="64" t="s">
        <v>32</v>
      </c>
      <c r="AF8" s="64">
        <v>8.2000000000000003E-2</v>
      </c>
      <c r="AG8" s="64">
        <v>0.125</v>
      </c>
      <c r="AH8" s="64"/>
      <c r="AI8" s="64">
        <v>24</v>
      </c>
      <c r="AJ8" s="64"/>
    </row>
    <row r="9" spans="1:36" x14ac:dyDescent="0.2">
      <c r="A9" s="42"/>
      <c r="B9" s="6" t="s">
        <v>13</v>
      </c>
      <c r="C9" s="25">
        <f>M38</f>
        <v>0</v>
      </c>
      <c r="D9" s="3">
        <v>1.25</v>
      </c>
      <c r="E9" s="25">
        <f t="shared" ref="E9:E23" si="0">C9*D9</f>
        <v>0</v>
      </c>
      <c r="F9" s="25">
        <f>M39</f>
        <v>0</v>
      </c>
      <c r="G9" s="3">
        <v>1.25</v>
      </c>
      <c r="H9" s="25">
        <f>F9*G9</f>
        <v>0</v>
      </c>
      <c r="I9" s="47"/>
      <c r="J9" s="42"/>
      <c r="K9" s="84" t="s">
        <v>70</v>
      </c>
      <c r="L9" s="3" t="str">
        <f>VLOOKUP(K9,Data!A:D,2,L19)</f>
        <v>Single Boxed Isolator Module</v>
      </c>
      <c r="M9" s="31">
        <v>0</v>
      </c>
      <c r="N9" s="16">
        <f>SUM(M9*VLOOKUP($K9,Data!$A:$D,3,FALSE))</f>
        <v>0</v>
      </c>
      <c r="O9" s="16">
        <f>SUM(M9*VLOOKUP($K9,Data!$A:$D,4,FALSE))</f>
        <v>0</v>
      </c>
      <c r="P9" s="16">
        <f>SUM(M9*VLOOKUP($K9,Data!$A:$E,5,FALSE))</f>
        <v>0</v>
      </c>
      <c r="Q9" s="31">
        <v>0</v>
      </c>
      <c r="R9" s="16">
        <f>SUM(Q9*VLOOKUP($K9,Data!$A:$D,3,FALSE))</f>
        <v>0</v>
      </c>
      <c r="S9" s="16">
        <f>SUM(Q9*VLOOKUP($K9,Data!$A:$D,4,FALSE))</f>
        <v>0</v>
      </c>
      <c r="T9" s="16">
        <f>SUM(Q9*VLOOKUP($K9,Data!$A:$E,5,FALSE))</f>
        <v>0</v>
      </c>
      <c r="U9" s="31">
        <v>0</v>
      </c>
      <c r="V9" s="16">
        <f>SUM(U9*VLOOKUP($K9,Data!$A:$D,3,FALSE))</f>
        <v>0</v>
      </c>
      <c r="W9" s="16">
        <f>SUM(U9*VLOOKUP($K9,Data!$A:$D,4,FALSE))</f>
        <v>0</v>
      </c>
      <c r="X9" s="16">
        <f>SUM(U9*VLOOKUP($K9,Data!$A:$E,5,FALSE))</f>
        <v>0</v>
      </c>
      <c r="Y9" s="31">
        <v>0</v>
      </c>
      <c r="Z9" s="16">
        <f>SUM(Y9*VLOOKUP($K9,Data!$A:$D,3,FALSE))</f>
        <v>0</v>
      </c>
      <c r="AA9" s="16">
        <f>SUM(Y9*VLOOKUP($K9,Data!$A:$D,4,FALSE))</f>
        <v>0</v>
      </c>
      <c r="AB9" s="16">
        <f>SUM(Y9*VLOOKUP($K9,Data!$A:$E,5,FALSE))</f>
        <v>0</v>
      </c>
      <c r="AC9" s="45"/>
      <c r="AD9" s="81"/>
      <c r="AE9" s="64" t="s">
        <v>33</v>
      </c>
      <c r="AF9" s="64">
        <v>0.10199999999999999</v>
      </c>
      <c r="AG9" s="64">
        <v>0.125</v>
      </c>
      <c r="AH9" s="64"/>
      <c r="AI9" s="64">
        <v>72</v>
      </c>
      <c r="AJ9" s="64"/>
    </row>
    <row r="10" spans="1:36" x14ac:dyDescent="0.2">
      <c r="A10" s="42"/>
      <c r="B10" s="6" t="s">
        <v>14</v>
      </c>
      <c r="C10" s="25">
        <v>4.2000000000000003E-2</v>
      </c>
      <c r="D10" s="70">
        <v>1</v>
      </c>
      <c r="E10" s="25">
        <f t="shared" si="0"/>
        <v>4.2000000000000003E-2</v>
      </c>
      <c r="F10" s="25">
        <v>4.2000000000000003E-2</v>
      </c>
      <c r="G10" s="7">
        <v>1</v>
      </c>
      <c r="H10" s="25">
        <f>F10*G10</f>
        <v>4.2000000000000003E-2</v>
      </c>
      <c r="I10" s="48"/>
      <c r="J10" s="42"/>
      <c r="K10" s="84" t="s">
        <v>71</v>
      </c>
      <c r="L10" s="3" t="str">
        <f>VLOOKUP(K10,Data!A:D,2,L20)</f>
        <v>Dual Boxed Isolator Module</v>
      </c>
      <c r="M10" s="31">
        <v>0</v>
      </c>
      <c r="N10" s="16">
        <f>SUM(M10*VLOOKUP($K10,Data!$A:$D,3,FALSE))</f>
        <v>0</v>
      </c>
      <c r="O10" s="16">
        <f>SUM(M10*VLOOKUP($K10,Data!$A:$D,4,FALSE))</f>
        <v>0</v>
      </c>
      <c r="P10" s="16">
        <f>SUM(M10*VLOOKUP($K10,Data!$A:$E,5,FALSE))</f>
        <v>0</v>
      </c>
      <c r="Q10" s="31">
        <v>0</v>
      </c>
      <c r="R10" s="16">
        <f>SUM(Q10*VLOOKUP($K10,Data!$A:$D,3,FALSE))</f>
        <v>0</v>
      </c>
      <c r="S10" s="16">
        <f>SUM(Q10*VLOOKUP($K10,Data!$A:$D,4,FALSE))</f>
        <v>0</v>
      </c>
      <c r="T10" s="16">
        <f>SUM(Q10*VLOOKUP($K10,Data!$A:$E,5,FALSE))</f>
        <v>0</v>
      </c>
      <c r="U10" s="31">
        <v>0</v>
      </c>
      <c r="V10" s="16">
        <f>SUM(U10*VLOOKUP($K10,Data!$A:$D,3,FALSE))</f>
        <v>0</v>
      </c>
      <c r="W10" s="16">
        <f>SUM(U10*VLOOKUP($K10,Data!$A:$D,4,FALSE))</f>
        <v>0</v>
      </c>
      <c r="X10" s="16">
        <f>SUM(U10*VLOOKUP($K10,Data!$A:$E,5,FALSE))</f>
        <v>0</v>
      </c>
      <c r="Y10" s="31">
        <v>0</v>
      </c>
      <c r="Z10" s="16">
        <f>SUM(Y10*VLOOKUP($K10,Data!$A:$D,3,FALSE))</f>
        <v>0</v>
      </c>
      <c r="AA10" s="16">
        <f>SUM(Y10*VLOOKUP($K10,Data!$A:$D,4,FALSE))</f>
        <v>0</v>
      </c>
      <c r="AB10" s="16">
        <f>SUM(Y10*VLOOKUP($K10,Data!$A:$E,5,FALSE))</f>
        <v>0</v>
      </c>
      <c r="AC10" s="45"/>
      <c r="AD10" s="81"/>
      <c r="AE10" s="64"/>
      <c r="AF10" s="64"/>
      <c r="AG10" s="64"/>
      <c r="AH10" s="64"/>
      <c r="AJ10" s="64"/>
    </row>
    <row r="11" spans="1:36" x14ac:dyDescent="0.2">
      <c r="A11" s="42"/>
      <c r="B11" s="6" t="s">
        <v>13</v>
      </c>
      <c r="C11" s="25">
        <f>Q38</f>
        <v>0</v>
      </c>
      <c r="D11" s="7">
        <f>IF(B7=5100,0,IF(Q6="Fitted",1.25,0))</f>
        <v>1.25</v>
      </c>
      <c r="E11" s="25">
        <f t="shared" si="0"/>
        <v>0</v>
      </c>
      <c r="F11" s="25">
        <f>Q39</f>
        <v>0</v>
      </c>
      <c r="G11" s="7">
        <v>1.25</v>
      </c>
      <c r="H11" s="25">
        <f>IF(D12=0,0,F11*G11)</f>
        <v>0</v>
      </c>
      <c r="I11" s="49"/>
      <c r="J11" s="42"/>
      <c r="K11" s="84" t="s">
        <v>67</v>
      </c>
      <c r="L11" s="3" t="str">
        <f>VLOOKUP(K11,Data!A:D,2,L21)</f>
        <v>Relay Output Module</v>
      </c>
      <c r="M11" s="31">
        <v>0</v>
      </c>
      <c r="N11" s="16">
        <f>SUM(M11*VLOOKUP($K11,Data!$A:$D,3,FALSE))</f>
        <v>0</v>
      </c>
      <c r="O11" s="16">
        <f>SUM(M11*VLOOKUP($K11,Data!$A:$D,4,FALSE))</f>
        <v>0</v>
      </c>
      <c r="P11" s="16">
        <f>SUM(M11*VLOOKUP($K11,Data!$A:$E,5,FALSE))</f>
        <v>0</v>
      </c>
      <c r="Q11" s="31">
        <v>0</v>
      </c>
      <c r="R11" s="16">
        <f>SUM(Q11*VLOOKUP($K11,Data!$A:$D,3,FALSE))</f>
        <v>0</v>
      </c>
      <c r="S11" s="16">
        <f>SUM(Q11*VLOOKUP($K11,Data!$A:$D,4,FALSE))</f>
        <v>0</v>
      </c>
      <c r="T11" s="16">
        <f>SUM(Q11*VLOOKUP($K11,Data!$A:$E,5,FALSE))</f>
        <v>0</v>
      </c>
      <c r="U11" s="31">
        <v>0</v>
      </c>
      <c r="V11" s="16">
        <f>SUM(U11*VLOOKUP($K11,Data!$A:$D,3,FALSE))</f>
        <v>0</v>
      </c>
      <c r="W11" s="16">
        <f>SUM(U11*VLOOKUP($K11,Data!$A:$D,4,FALSE))</f>
        <v>0</v>
      </c>
      <c r="X11" s="16">
        <f>SUM(U11*VLOOKUP($K11,Data!$A:$E,5,FALSE))</f>
        <v>0</v>
      </c>
      <c r="Y11" s="31">
        <v>0</v>
      </c>
      <c r="Z11" s="16">
        <f>SUM(Y11*VLOOKUP($K11,Data!$A:$D,3,FALSE))</f>
        <v>0</v>
      </c>
      <c r="AA11" s="16">
        <f>SUM(Y11*VLOOKUP($K11,Data!$A:$D,4,FALSE))</f>
        <v>0</v>
      </c>
      <c r="AB11" s="16">
        <f>SUM(Y11*VLOOKUP($K11,Data!$A:$E,5,FALSE))</f>
        <v>0</v>
      </c>
      <c r="AC11" s="45"/>
      <c r="AD11" s="81"/>
      <c r="AE11" s="64" t="s">
        <v>35</v>
      </c>
      <c r="AF11" s="64">
        <v>0.02</v>
      </c>
      <c r="AG11" s="64">
        <v>0.02</v>
      </c>
      <c r="AH11" s="64"/>
      <c r="AJ11" s="64"/>
    </row>
    <row r="12" spans="1:36" x14ac:dyDescent="0.2">
      <c r="A12" s="42"/>
      <c r="B12" s="6" t="s">
        <v>15</v>
      </c>
      <c r="C12" s="25">
        <v>4.2000000000000003E-2</v>
      </c>
      <c r="D12" s="70">
        <f>IF(B7&lt;&gt;5400,0,IF(Q6="Fitted",1,0))</f>
        <v>1</v>
      </c>
      <c r="E12" s="25">
        <f t="shared" si="0"/>
        <v>4.2000000000000003E-2</v>
      </c>
      <c r="F12" s="25">
        <v>4.2000000000000003E-2</v>
      </c>
      <c r="G12" s="7">
        <f>IF(B7=5100,0,IF(Q6="Fitted",1,0))</f>
        <v>1</v>
      </c>
      <c r="H12" s="25">
        <f>F12*G12</f>
        <v>4.2000000000000003E-2</v>
      </c>
      <c r="I12" s="49"/>
      <c r="J12" s="42"/>
      <c r="K12" s="84" t="s">
        <v>74</v>
      </c>
      <c r="L12" s="3" t="str">
        <f>VLOOKUP(K12,Data!A:D,2,L22)</f>
        <v>Isolator Module (Un-boxed</v>
      </c>
      <c r="M12" s="31">
        <v>0</v>
      </c>
      <c r="N12" s="16">
        <f>SUM(M12*VLOOKUP($K12,Data!$A:$D,3,FALSE))</f>
        <v>0</v>
      </c>
      <c r="O12" s="16">
        <f>SUM(M12*VLOOKUP($K12,Data!$A:$D,4,FALSE))</f>
        <v>0</v>
      </c>
      <c r="P12" s="16">
        <f>SUM(M12*VLOOKUP($K12,Data!$A:$E,5,FALSE))</f>
        <v>0</v>
      </c>
      <c r="Q12" s="31">
        <v>0</v>
      </c>
      <c r="R12" s="16">
        <f>SUM(Q12*VLOOKUP($K12,Data!$A:$D,3,FALSE))</f>
        <v>0</v>
      </c>
      <c r="S12" s="16">
        <f>SUM(Q12*VLOOKUP($K12,Data!$A:$D,4,FALSE))</f>
        <v>0</v>
      </c>
      <c r="T12" s="16">
        <f>SUM(Q12*VLOOKUP($K12,Data!$A:$E,5,FALSE))</f>
        <v>0</v>
      </c>
      <c r="U12" s="31">
        <v>0</v>
      </c>
      <c r="V12" s="16">
        <f>SUM(U12*VLOOKUP($K12,Data!$A:$D,3,FALSE))</f>
        <v>0</v>
      </c>
      <c r="W12" s="16">
        <f>SUM(U12*VLOOKUP($K12,Data!$A:$D,4,FALSE))</f>
        <v>0</v>
      </c>
      <c r="X12" s="16">
        <f>SUM(U12*VLOOKUP($K12,Data!$A:$E,5,FALSE))</f>
        <v>0</v>
      </c>
      <c r="Y12" s="31">
        <v>0</v>
      </c>
      <c r="Z12" s="16">
        <f>SUM(Y12*VLOOKUP($K12,Data!$A:$D,3,FALSE))</f>
        <v>0</v>
      </c>
      <c r="AA12" s="16">
        <f>SUM(Y12*VLOOKUP($K12,Data!$A:$D,4,FALSE))</f>
        <v>0</v>
      </c>
      <c r="AB12" s="16">
        <f>SUM(Y12*VLOOKUP($K12,Data!$A:$E,5,FALSE))</f>
        <v>0</v>
      </c>
      <c r="AC12" s="45"/>
      <c r="AD12" s="81"/>
      <c r="AE12" s="64" t="s">
        <v>34</v>
      </c>
      <c r="AF12" s="64">
        <v>6.0999999999999999E-2</v>
      </c>
      <c r="AG12" s="64">
        <v>6.0999999999999999E-2</v>
      </c>
      <c r="AH12" s="64"/>
      <c r="AJ12" s="64"/>
    </row>
    <row r="13" spans="1:36" x14ac:dyDescent="0.2">
      <c r="A13" s="42"/>
      <c r="B13" s="6" t="s">
        <v>13</v>
      </c>
      <c r="C13" s="25">
        <f>U38</f>
        <v>0</v>
      </c>
      <c r="D13" s="7">
        <f>IF(B7&lt;&gt;5400,0,IF(U6="Fitted",1.25,0))</f>
        <v>1.25</v>
      </c>
      <c r="E13" s="25">
        <f t="shared" si="0"/>
        <v>0</v>
      </c>
      <c r="F13" s="25">
        <f>U39</f>
        <v>0</v>
      </c>
      <c r="G13" s="7">
        <v>1.25</v>
      </c>
      <c r="H13" s="25">
        <f>IF(D14=0,0,F13*G13)</f>
        <v>0</v>
      </c>
      <c r="I13" s="49"/>
      <c r="J13" s="42"/>
      <c r="K13" s="85" t="s">
        <v>68</v>
      </c>
      <c r="L13" s="3" t="str">
        <f>VLOOKUP(K13,Data!A:D,2,L23)</f>
        <v>Wireless Translator Module</v>
      </c>
      <c r="M13" s="31">
        <v>0</v>
      </c>
      <c r="N13" s="16">
        <f>SUM(M13*VLOOKUP($K13,Data!$A:$D,3,FALSE))</f>
        <v>0</v>
      </c>
      <c r="O13" s="16">
        <f>SUM(M13*VLOOKUP($K13,Data!$A:$D,4,FALSE))</f>
        <v>0</v>
      </c>
      <c r="P13" s="16">
        <f>SUM(M13*VLOOKUP($K13,Data!$A:$E,5,FALSE))</f>
        <v>0</v>
      </c>
      <c r="Q13" s="31">
        <v>0</v>
      </c>
      <c r="R13" s="16">
        <f>SUM(Q13*VLOOKUP($K13,Data!$A:$D,3,FALSE))</f>
        <v>0</v>
      </c>
      <c r="S13" s="16">
        <f>SUM(Q13*VLOOKUP($K13,Data!$A:$D,4,FALSE))</f>
        <v>0</v>
      </c>
      <c r="T13" s="16">
        <f>SUM(Q13*VLOOKUP($K13,Data!$A:$E,5,FALSE))</f>
        <v>0</v>
      </c>
      <c r="U13" s="31">
        <v>0</v>
      </c>
      <c r="V13" s="16">
        <f>SUM(U13*VLOOKUP($K13,Data!$A:$D,3,FALSE))</f>
        <v>0</v>
      </c>
      <c r="W13" s="16">
        <f>SUM(U13*VLOOKUP($K13,Data!$A:$D,4,FALSE))</f>
        <v>0</v>
      </c>
      <c r="X13" s="16">
        <f>SUM(U13*VLOOKUP($K13,Data!$A:$E,5,FALSE))</f>
        <v>0</v>
      </c>
      <c r="Y13" s="31">
        <v>0</v>
      </c>
      <c r="Z13" s="16">
        <f>SUM(Y13*VLOOKUP($K13,Data!$A:$D,3,FALSE))</f>
        <v>0</v>
      </c>
      <c r="AA13" s="16">
        <f>SUM(Y13*VLOOKUP($K13,Data!$A:$D,4,FALSE))</f>
        <v>0</v>
      </c>
      <c r="AB13" s="16">
        <f>SUM(Y13*VLOOKUP($K13,Data!$A:$E,5,FALSE))</f>
        <v>0</v>
      </c>
      <c r="AC13" s="45"/>
      <c r="AD13" s="81"/>
      <c r="AE13" s="64" t="s">
        <v>0</v>
      </c>
      <c r="AF13" s="64">
        <v>0</v>
      </c>
      <c r="AG13" s="64">
        <v>0</v>
      </c>
      <c r="AH13" s="64"/>
      <c r="AI13" s="65">
        <v>5100</v>
      </c>
      <c r="AJ13" s="64"/>
    </row>
    <row r="14" spans="1:36" x14ac:dyDescent="0.2">
      <c r="A14" s="42"/>
      <c r="B14" s="6" t="s">
        <v>16</v>
      </c>
      <c r="C14" s="25">
        <v>4.2000000000000003E-2</v>
      </c>
      <c r="D14" s="70">
        <f>IF(B7&lt;&gt;5400,0,IF(U6="Fitted",1,0))</f>
        <v>1</v>
      </c>
      <c r="E14" s="25">
        <f t="shared" si="0"/>
        <v>4.2000000000000003E-2</v>
      </c>
      <c r="F14" s="25">
        <v>4.2000000000000003E-2</v>
      </c>
      <c r="G14" s="7">
        <f>IF(B7&lt;&gt;5400,0,IF(U6="Fitted",1,0))</f>
        <v>1</v>
      </c>
      <c r="H14" s="25">
        <f>F14*G14</f>
        <v>4.2000000000000003E-2</v>
      </c>
      <c r="I14" s="49"/>
      <c r="J14" s="42"/>
      <c r="K14" s="77"/>
      <c r="L14" s="74"/>
      <c r="M14" s="78"/>
      <c r="N14" s="79"/>
      <c r="O14" s="79"/>
      <c r="P14" s="79"/>
      <c r="Q14" s="78"/>
      <c r="R14" s="79"/>
      <c r="S14" s="79"/>
      <c r="T14" s="79"/>
      <c r="U14" s="78"/>
      <c r="V14" s="79"/>
      <c r="W14" s="79"/>
      <c r="X14" s="79"/>
      <c r="Y14" s="78"/>
      <c r="Z14" s="24"/>
      <c r="AA14" s="16"/>
      <c r="AB14" s="16"/>
      <c r="AC14" s="45"/>
      <c r="AD14" s="81"/>
      <c r="AE14" s="64"/>
      <c r="AF14" s="64"/>
      <c r="AG14" s="64"/>
      <c r="AH14" s="64"/>
      <c r="AI14" s="65">
        <v>5200</v>
      </c>
      <c r="AJ14" s="64"/>
    </row>
    <row r="15" spans="1:36" x14ac:dyDescent="0.2">
      <c r="A15" s="42"/>
      <c r="B15" s="6" t="s">
        <v>13</v>
      </c>
      <c r="C15" s="26">
        <f>U38</f>
        <v>0</v>
      </c>
      <c r="D15" s="7">
        <f>IF(B7&lt;&gt;5400,0,IF(U6="Fitted",1.25,0))</f>
        <v>1.25</v>
      </c>
      <c r="E15" s="25">
        <f t="shared" si="0"/>
        <v>0</v>
      </c>
      <c r="F15" s="25">
        <f>Y39</f>
        <v>0</v>
      </c>
      <c r="G15" s="7">
        <v>1.25</v>
      </c>
      <c r="H15" s="25">
        <f>IF(D16=0,0,F15*G15)</f>
        <v>0</v>
      </c>
      <c r="I15" s="49"/>
      <c r="J15" s="42"/>
      <c r="K15" s="77"/>
      <c r="L15" s="74"/>
      <c r="M15" s="78"/>
      <c r="N15" s="79"/>
      <c r="O15" s="79"/>
      <c r="P15" s="79"/>
      <c r="Q15" s="78"/>
      <c r="R15" s="79"/>
      <c r="S15" s="79"/>
      <c r="T15" s="79"/>
      <c r="U15" s="78"/>
      <c r="V15" s="79"/>
      <c r="W15" s="79"/>
      <c r="X15" s="79"/>
      <c r="Y15" s="78"/>
      <c r="Z15" s="24"/>
      <c r="AA15" s="16"/>
      <c r="AB15" s="16"/>
      <c r="AC15" s="45"/>
      <c r="AD15" s="81"/>
      <c r="AE15" s="64" t="s">
        <v>36</v>
      </c>
      <c r="AF15" s="64">
        <v>0</v>
      </c>
      <c r="AG15" s="64">
        <v>0.03</v>
      </c>
      <c r="AH15" s="64"/>
      <c r="AI15" s="65">
        <v>5400</v>
      </c>
      <c r="AJ15" s="64"/>
    </row>
    <row r="16" spans="1:36" x14ac:dyDescent="0.2">
      <c r="A16" s="42"/>
      <c r="B16" s="6" t="s">
        <v>17</v>
      </c>
      <c r="C16" s="25">
        <v>4.2000000000000003E-2</v>
      </c>
      <c r="D16" s="70">
        <f>IF(B7&lt;&gt;5400,0,IF(Y6="Fitted",1,0))</f>
        <v>1</v>
      </c>
      <c r="E16" s="25">
        <f t="shared" si="0"/>
        <v>4.2000000000000003E-2</v>
      </c>
      <c r="F16" s="25">
        <v>4.2000000000000003E-2</v>
      </c>
      <c r="G16" s="7">
        <f>IF(B7&lt;&gt;5400,0,IF(Y6="Fitted",1,0))</f>
        <v>1</v>
      </c>
      <c r="H16" s="25">
        <f>F16*G16</f>
        <v>4.2000000000000003E-2</v>
      </c>
      <c r="I16" s="49"/>
      <c r="J16" s="42"/>
      <c r="K16" s="77"/>
      <c r="L16" s="74"/>
      <c r="M16" s="78"/>
      <c r="N16" s="79"/>
      <c r="O16" s="79"/>
      <c r="P16" s="79"/>
      <c r="Q16" s="78"/>
      <c r="R16" s="79"/>
      <c r="S16" s="79"/>
      <c r="T16" s="79"/>
      <c r="U16" s="78"/>
      <c r="V16" s="79"/>
      <c r="W16" s="79"/>
      <c r="X16" s="79"/>
      <c r="Y16" s="78"/>
      <c r="Z16" s="24"/>
      <c r="AA16" s="16"/>
      <c r="AB16" s="16"/>
      <c r="AC16" s="45"/>
      <c r="AD16" s="81"/>
      <c r="AE16" s="64" t="s">
        <v>37</v>
      </c>
      <c r="AF16" s="64">
        <v>3.1E-2</v>
      </c>
      <c r="AG16" s="64">
        <v>4.2999999999999997E-2</v>
      </c>
      <c r="AH16" s="64"/>
      <c r="AJ16" s="64"/>
    </row>
    <row r="17" spans="1:36" x14ac:dyDescent="0.2">
      <c r="A17" s="42"/>
      <c r="B17" s="6" t="str">
        <f>IF($C36="MXP-509","MXP-509 Fault-Tolerant Network",IF($C36="MXP-503","MXP-503 Standard Network","NO NETWORK Card"))</f>
        <v>MXP-503 Standard Network</v>
      </c>
      <c r="C17" s="26">
        <f>IF($C36="MXP-509",0.043,IF($C36="MXP-503",0.02,0))</f>
        <v>0.02</v>
      </c>
      <c r="D17" s="7">
        <v>1</v>
      </c>
      <c r="E17" s="25">
        <f t="shared" si="0"/>
        <v>0.02</v>
      </c>
      <c r="F17" s="25">
        <f>C17</f>
        <v>0.02</v>
      </c>
      <c r="G17" s="7">
        <f>D17</f>
        <v>1</v>
      </c>
      <c r="H17" s="25">
        <f>F17*G17</f>
        <v>0.02</v>
      </c>
      <c r="I17" s="49"/>
      <c r="J17" s="42"/>
      <c r="K17" s="77"/>
      <c r="L17" s="74"/>
      <c r="M17" s="78"/>
      <c r="N17" s="79"/>
      <c r="O17" s="79"/>
      <c r="P17" s="79"/>
      <c r="Q17" s="78"/>
      <c r="R17" s="79"/>
      <c r="S17" s="79"/>
      <c r="T17" s="79"/>
      <c r="U17" s="78"/>
      <c r="V17" s="79"/>
      <c r="W17" s="79"/>
      <c r="X17" s="79"/>
      <c r="Y17" s="78"/>
      <c r="Z17" s="24"/>
      <c r="AA17" s="16"/>
      <c r="AB17" s="16"/>
      <c r="AC17" s="45"/>
      <c r="AD17" s="81"/>
      <c r="AE17" s="64" t="s">
        <v>0</v>
      </c>
      <c r="AF17" s="64">
        <v>0</v>
      </c>
      <c r="AG17" s="64">
        <v>0</v>
      </c>
      <c r="AH17" s="64"/>
      <c r="AJ17" s="64"/>
    </row>
    <row r="18" spans="1:36" x14ac:dyDescent="0.2">
      <c r="A18" s="42"/>
      <c r="B18" s="6"/>
      <c r="C18" s="25"/>
      <c r="D18" s="7"/>
      <c r="E18" s="25"/>
      <c r="F18" s="25"/>
      <c r="G18" s="7"/>
      <c r="H18" s="25"/>
      <c r="I18" s="49"/>
      <c r="J18" s="42"/>
      <c r="K18" s="77"/>
      <c r="L18" s="74"/>
      <c r="M18" s="78"/>
      <c r="N18" s="79"/>
      <c r="O18" s="79"/>
      <c r="P18" s="79"/>
      <c r="Q18" s="78"/>
      <c r="R18" s="79"/>
      <c r="S18" s="79"/>
      <c r="T18" s="79"/>
      <c r="U18" s="78"/>
      <c r="V18" s="79"/>
      <c r="W18" s="79"/>
      <c r="X18" s="79"/>
      <c r="Y18" s="78"/>
      <c r="Z18" s="24"/>
      <c r="AA18" s="16"/>
      <c r="AB18" s="16"/>
      <c r="AC18" s="45"/>
      <c r="AD18" s="81"/>
      <c r="AE18" s="64"/>
      <c r="AF18" s="64"/>
      <c r="AG18" s="64"/>
      <c r="AH18" s="64"/>
      <c r="AI18" s="64" t="s">
        <v>55</v>
      </c>
      <c r="AJ18" s="64"/>
    </row>
    <row r="19" spans="1:36" x14ac:dyDescent="0.2">
      <c r="A19" s="42"/>
      <c r="B19" s="6"/>
      <c r="C19" s="25"/>
      <c r="D19" s="7"/>
      <c r="E19" s="25"/>
      <c r="F19" s="25"/>
      <c r="G19" s="7"/>
      <c r="H19" s="25"/>
      <c r="I19" s="49"/>
      <c r="J19" s="42"/>
      <c r="K19" s="77"/>
      <c r="L19" s="74"/>
      <c r="M19" s="78"/>
      <c r="N19" s="79"/>
      <c r="O19" s="79"/>
      <c r="P19" s="79"/>
      <c r="Q19" s="78"/>
      <c r="R19" s="79"/>
      <c r="S19" s="79"/>
      <c r="T19" s="79"/>
      <c r="U19" s="78"/>
      <c r="V19" s="79"/>
      <c r="W19" s="79"/>
      <c r="X19" s="79"/>
      <c r="Y19" s="78"/>
      <c r="Z19" s="24"/>
      <c r="AA19" s="16"/>
      <c r="AB19" s="16"/>
      <c r="AC19" s="45"/>
      <c r="AD19" s="81"/>
      <c r="AE19" s="64"/>
      <c r="AF19" s="64"/>
      <c r="AG19" s="64"/>
      <c r="AH19" s="64"/>
      <c r="AI19" s="64" t="s">
        <v>57</v>
      </c>
      <c r="AJ19" s="64"/>
    </row>
    <row r="20" spans="1:36" x14ac:dyDescent="0.2">
      <c r="A20" s="42"/>
      <c r="B20" s="6"/>
      <c r="C20" s="25"/>
      <c r="D20" s="7"/>
      <c r="E20" s="25"/>
      <c r="F20" s="25"/>
      <c r="G20" s="7"/>
      <c r="H20" s="25"/>
      <c r="I20" s="49"/>
      <c r="J20" s="42"/>
      <c r="K20" s="77"/>
      <c r="L20" s="74"/>
      <c r="M20" s="78"/>
      <c r="N20" s="79"/>
      <c r="O20" s="79"/>
      <c r="P20" s="79"/>
      <c r="Q20" s="78"/>
      <c r="R20" s="79"/>
      <c r="S20" s="79"/>
      <c r="T20" s="79"/>
      <c r="U20" s="78"/>
      <c r="V20" s="79"/>
      <c r="W20" s="79"/>
      <c r="X20" s="79"/>
      <c r="Y20" s="78"/>
      <c r="Z20" s="24"/>
      <c r="AA20" s="16"/>
      <c r="AB20" s="16"/>
      <c r="AC20" s="45"/>
      <c r="AD20" s="81"/>
      <c r="AE20" s="64">
        <v>50</v>
      </c>
      <c r="AF20" s="64">
        <v>8.0000000000000002E-3</v>
      </c>
      <c r="AG20" s="64">
        <v>0.03</v>
      </c>
      <c r="AH20" s="64"/>
      <c r="AJ20" s="64"/>
    </row>
    <row r="21" spans="1:36" x14ac:dyDescent="0.2">
      <c r="A21" s="42"/>
      <c r="B21" s="6"/>
      <c r="C21" s="25"/>
      <c r="D21" s="7"/>
      <c r="E21" s="25"/>
      <c r="F21" s="25"/>
      <c r="G21" s="7"/>
      <c r="H21" s="25"/>
      <c r="I21" s="49"/>
      <c r="J21" s="42"/>
      <c r="K21" s="77"/>
      <c r="L21" s="74"/>
      <c r="M21" s="78"/>
      <c r="N21" s="79"/>
      <c r="O21" s="79"/>
      <c r="P21" s="79"/>
      <c r="Q21" s="78"/>
      <c r="R21" s="79"/>
      <c r="S21" s="79"/>
      <c r="T21" s="79"/>
      <c r="U21" s="78"/>
      <c r="V21" s="79"/>
      <c r="W21" s="79"/>
      <c r="X21" s="79"/>
      <c r="Y21" s="78"/>
      <c r="Z21" s="24"/>
      <c r="AA21" s="16"/>
      <c r="AB21" s="16"/>
      <c r="AC21" s="45"/>
      <c r="AD21" s="81"/>
      <c r="AE21" s="64">
        <v>100</v>
      </c>
      <c r="AF21" s="64">
        <f>AF20*2</f>
        <v>1.6E-2</v>
      </c>
      <c r="AG21" s="64">
        <f>AG20*2</f>
        <v>0.06</v>
      </c>
      <c r="AH21" s="64"/>
      <c r="AJ21" s="64"/>
    </row>
    <row r="22" spans="1:36" x14ac:dyDescent="0.2">
      <c r="A22" s="42"/>
      <c r="B22" s="6" t="str">
        <f>IF(C40="MXP-504","MXP-504 SUPPLY OUTPUT LOADS",(IF(C40="MXP-504/508","MXP-504 SUPPLY OUTPUT LOADS","")))</f>
        <v/>
      </c>
      <c r="C22" s="71">
        <v>0</v>
      </c>
      <c r="D22" s="3">
        <v>1</v>
      </c>
      <c r="E22" s="25">
        <f>IF(C40="none",0,C22*D22)</f>
        <v>0</v>
      </c>
      <c r="F22" s="71">
        <v>0</v>
      </c>
      <c r="G22" s="3">
        <v>1</v>
      </c>
      <c r="H22" s="25">
        <f>IF(C40="none",0,F22*G22)</f>
        <v>0</v>
      </c>
      <c r="I22" s="49"/>
      <c r="J22" s="42"/>
      <c r="K22" s="77"/>
      <c r="L22" s="74"/>
      <c r="M22" s="78"/>
      <c r="N22" s="79"/>
      <c r="O22" s="79"/>
      <c r="P22" s="79"/>
      <c r="Q22" s="78"/>
      <c r="R22" s="79"/>
      <c r="S22" s="79"/>
      <c r="T22" s="79"/>
      <c r="U22" s="78"/>
      <c r="V22" s="79"/>
      <c r="W22" s="79"/>
      <c r="X22" s="79"/>
      <c r="Y22" s="78"/>
      <c r="Z22" s="24"/>
      <c r="AA22" s="16"/>
      <c r="AB22" s="16"/>
      <c r="AC22" s="45"/>
      <c r="AD22" s="81"/>
      <c r="AE22" s="64">
        <v>150</v>
      </c>
      <c r="AF22" s="64">
        <f>AF20*3</f>
        <v>2.4E-2</v>
      </c>
      <c r="AG22" s="64">
        <f>AG20*3</f>
        <v>0.09</v>
      </c>
      <c r="AH22" s="64"/>
      <c r="AJ22" s="64"/>
    </row>
    <row r="23" spans="1:36" x14ac:dyDescent="0.2">
      <c r="A23" s="42"/>
      <c r="B23" s="6" t="s">
        <v>41</v>
      </c>
      <c r="C23" s="83">
        <v>0.1</v>
      </c>
      <c r="D23" s="3">
        <v>1</v>
      </c>
      <c r="E23" s="25">
        <f t="shared" si="0"/>
        <v>0.1</v>
      </c>
      <c r="F23" s="71">
        <v>0</v>
      </c>
      <c r="G23" s="3">
        <v>1</v>
      </c>
      <c r="H23" s="25">
        <f>F23*G23</f>
        <v>0</v>
      </c>
      <c r="I23" s="49"/>
      <c r="J23" s="42"/>
      <c r="K23" s="77"/>
      <c r="L23" s="74"/>
      <c r="M23" s="78"/>
      <c r="N23" s="79"/>
      <c r="O23" s="79"/>
      <c r="P23" s="79"/>
      <c r="Q23" s="78"/>
      <c r="R23" s="79"/>
      <c r="S23" s="79"/>
      <c r="T23" s="79"/>
      <c r="U23" s="78"/>
      <c r="V23" s="79"/>
      <c r="W23" s="79"/>
      <c r="X23" s="79"/>
      <c r="Y23" s="78"/>
      <c r="Z23" s="24"/>
      <c r="AA23" s="16"/>
      <c r="AB23" s="16"/>
      <c r="AC23" s="45"/>
      <c r="AD23" s="81"/>
      <c r="AE23" s="64">
        <v>200</v>
      </c>
      <c r="AF23" s="64">
        <f>AF20*4</f>
        <v>3.2000000000000001E-2</v>
      </c>
      <c r="AG23" s="64">
        <f>AG20*4</f>
        <v>0.12</v>
      </c>
      <c r="AH23" s="64"/>
      <c r="AJ23" s="64"/>
    </row>
    <row r="24" spans="1:36" x14ac:dyDescent="0.2">
      <c r="A24" s="42"/>
      <c r="B24" s="6"/>
      <c r="C24" s="16"/>
      <c r="D24" s="3"/>
      <c r="E24" s="16"/>
      <c r="F24" s="24"/>
      <c r="G24" s="17"/>
      <c r="H24" s="16"/>
      <c r="I24" s="49"/>
      <c r="J24" s="42"/>
      <c r="K24" s="77"/>
      <c r="L24" s="74"/>
      <c r="M24" s="78"/>
      <c r="N24" s="79"/>
      <c r="O24" s="79"/>
      <c r="P24" s="79"/>
      <c r="Q24" s="78"/>
      <c r="R24" s="79"/>
      <c r="S24" s="79"/>
      <c r="T24" s="79"/>
      <c r="U24" s="78"/>
      <c r="V24" s="79"/>
      <c r="W24" s="79"/>
      <c r="X24" s="79"/>
      <c r="Y24" s="78"/>
      <c r="Z24" s="24"/>
      <c r="AA24" s="16"/>
      <c r="AB24" s="16"/>
      <c r="AC24" s="45"/>
      <c r="AD24" s="81"/>
      <c r="AE24" s="64">
        <v>250</v>
      </c>
      <c r="AF24" s="64">
        <f>AF20*5</f>
        <v>0.04</v>
      </c>
      <c r="AG24" s="64">
        <f>AG20*5</f>
        <v>0.15</v>
      </c>
      <c r="AH24" s="64"/>
      <c r="AJ24" s="64"/>
    </row>
    <row r="25" spans="1:36" x14ac:dyDescent="0.2">
      <c r="A25" s="42"/>
      <c r="B25" s="6" t="s">
        <v>18</v>
      </c>
      <c r="C25" s="20"/>
      <c r="D25" s="4"/>
      <c r="E25" s="22"/>
      <c r="F25" s="72">
        <v>0</v>
      </c>
      <c r="G25" s="3">
        <v>1</v>
      </c>
      <c r="H25" s="25">
        <f>F25*G25</f>
        <v>0</v>
      </c>
      <c r="I25" s="49"/>
      <c r="J25" s="42"/>
      <c r="K25" s="77"/>
      <c r="L25" s="74"/>
      <c r="M25" s="78"/>
      <c r="N25" s="79"/>
      <c r="O25" s="79"/>
      <c r="P25" s="79"/>
      <c r="Q25" s="78"/>
      <c r="R25" s="79"/>
      <c r="S25" s="79"/>
      <c r="T25" s="79"/>
      <c r="U25" s="78"/>
      <c r="V25" s="79"/>
      <c r="W25" s="79"/>
      <c r="X25" s="79"/>
      <c r="Y25" s="78"/>
      <c r="Z25" s="24"/>
      <c r="AA25" s="16"/>
      <c r="AB25" s="16"/>
      <c r="AC25" s="45"/>
      <c r="AD25" s="81"/>
      <c r="AE25" s="64" t="s">
        <v>45</v>
      </c>
      <c r="AF25" s="64">
        <v>8.0000000000000002E-3</v>
      </c>
      <c r="AG25" s="64">
        <v>0.12</v>
      </c>
      <c r="AH25" s="64"/>
      <c r="AJ25" s="64"/>
    </row>
    <row r="26" spans="1:36" x14ac:dyDescent="0.2">
      <c r="A26" s="42"/>
      <c r="B26" s="6" t="s">
        <v>19</v>
      </c>
      <c r="C26" s="20"/>
      <c r="D26" s="4"/>
      <c r="E26" s="22"/>
      <c r="F26" s="72">
        <v>0</v>
      </c>
      <c r="G26" s="3">
        <v>1</v>
      </c>
      <c r="H26" s="25">
        <f>F26*G26</f>
        <v>0</v>
      </c>
      <c r="I26" s="49"/>
      <c r="J26" s="42"/>
      <c r="K26" s="77"/>
      <c r="L26" s="74"/>
      <c r="M26" s="78"/>
      <c r="N26" s="79"/>
      <c r="O26" s="79"/>
      <c r="P26" s="79"/>
      <c r="Q26" s="78"/>
      <c r="R26" s="79"/>
      <c r="S26" s="79"/>
      <c r="T26" s="79"/>
      <c r="U26" s="78"/>
      <c r="V26" s="79"/>
      <c r="W26" s="79"/>
      <c r="X26" s="79"/>
      <c r="Y26" s="78"/>
      <c r="Z26" s="24"/>
      <c r="AA26" s="16"/>
      <c r="AB26" s="16"/>
      <c r="AC26" s="45"/>
      <c r="AD26" s="81"/>
      <c r="AE26" s="64" t="s">
        <v>0</v>
      </c>
      <c r="AF26" s="64">
        <v>0</v>
      </c>
      <c r="AG26" s="64">
        <v>0</v>
      </c>
      <c r="AH26" s="64"/>
      <c r="AJ26" s="64"/>
    </row>
    <row r="27" spans="1:36" x14ac:dyDescent="0.2">
      <c r="A27" s="42"/>
      <c r="B27" s="6" t="str">
        <f>IF(B7=5400,"Sounder Output C","")</f>
        <v>Sounder Output C</v>
      </c>
      <c r="C27" s="20"/>
      <c r="D27" s="4"/>
      <c r="E27" s="22"/>
      <c r="F27" s="72">
        <v>0</v>
      </c>
      <c r="G27" s="3">
        <v>1</v>
      </c>
      <c r="H27" s="25">
        <f>IF(B7&lt;&gt;5400,0,F27*G27)</f>
        <v>0</v>
      </c>
      <c r="I27" s="49"/>
      <c r="J27" s="42"/>
      <c r="K27" s="77"/>
      <c r="L27" s="74"/>
      <c r="M27" s="78"/>
      <c r="N27" s="79"/>
      <c r="O27" s="79"/>
      <c r="P27" s="79"/>
      <c r="Q27" s="78"/>
      <c r="R27" s="79"/>
      <c r="S27" s="79"/>
      <c r="T27" s="79"/>
      <c r="U27" s="78"/>
      <c r="V27" s="79"/>
      <c r="W27" s="79"/>
      <c r="X27" s="79"/>
      <c r="Y27" s="78"/>
      <c r="Z27" s="24"/>
      <c r="AA27" s="16"/>
      <c r="AB27" s="16"/>
      <c r="AC27" s="45"/>
      <c r="AD27" s="81"/>
      <c r="AE27" s="64"/>
      <c r="AF27" s="64"/>
      <c r="AG27" s="64"/>
      <c r="AH27" s="64"/>
      <c r="AJ27" s="64"/>
    </row>
    <row r="28" spans="1:36" x14ac:dyDescent="0.2">
      <c r="A28" s="42"/>
      <c r="B28" s="6" t="str">
        <f>IF(B7=5400,"Sounder Output D","")</f>
        <v>Sounder Output D</v>
      </c>
      <c r="C28" s="20"/>
      <c r="D28" s="4"/>
      <c r="E28" s="23"/>
      <c r="F28" s="72">
        <v>0</v>
      </c>
      <c r="G28" s="3">
        <v>1</v>
      </c>
      <c r="H28" s="25">
        <f>IF(B7&lt;&gt;5400,0,F28*G28)</f>
        <v>0</v>
      </c>
      <c r="I28" s="49"/>
      <c r="J28" s="42"/>
      <c r="K28" s="77"/>
      <c r="L28" s="74"/>
      <c r="M28" s="78"/>
      <c r="N28" s="79"/>
      <c r="O28" s="79"/>
      <c r="P28" s="79"/>
      <c r="Q28" s="78"/>
      <c r="R28" s="79"/>
      <c r="S28" s="79"/>
      <c r="T28" s="79"/>
      <c r="U28" s="78"/>
      <c r="V28" s="79"/>
      <c r="W28" s="79"/>
      <c r="X28" s="79"/>
      <c r="Y28" s="78"/>
      <c r="Z28" s="24"/>
      <c r="AA28" s="16"/>
      <c r="AB28" s="16"/>
      <c r="AC28" s="45"/>
      <c r="AD28" s="81"/>
      <c r="AE28" s="64"/>
      <c r="AF28" s="64"/>
      <c r="AG28" s="64"/>
      <c r="AH28" s="64"/>
      <c r="AJ28" s="64"/>
    </row>
    <row r="29" spans="1:36" x14ac:dyDescent="0.2">
      <c r="A29" s="42"/>
      <c r="B29" s="34" t="s">
        <v>12</v>
      </c>
      <c r="C29" s="35" t="s">
        <v>44</v>
      </c>
      <c r="D29" s="36"/>
      <c r="E29" s="38">
        <f>SUM(E8:E23)</f>
        <v>0.36</v>
      </c>
      <c r="F29" s="35" t="s">
        <v>20</v>
      </c>
      <c r="G29" s="36"/>
      <c r="H29" s="37">
        <f>SUM(H8:H28)</f>
        <v>0.313</v>
      </c>
      <c r="I29" s="49"/>
      <c r="J29" s="42"/>
      <c r="K29" s="74"/>
      <c r="L29" s="74"/>
      <c r="M29" s="78"/>
      <c r="N29" s="79"/>
      <c r="O29" s="79"/>
      <c r="P29" s="79"/>
      <c r="Q29" s="78"/>
      <c r="R29" s="79"/>
      <c r="S29" s="79"/>
      <c r="T29" s="79"/>
      <c r="U29" s="78"/>
      <c r="V29" s="79"/>
      <c r="W29" s="79"/>
      <c r="X29" s="79"/>
      <c r="Y29" s="78"/>
      <c r="Z29" s="24"/>
      <c r="AA29" s="16"/>
      <c r="AB29" s="16"/>
      <c r="AC29" s="45"/>
      <c r="AD29" s="81"/>
      <c r="AE29" s="64"/>
      <c r="AF29" s="64"/>
      <c r="AG29" s="64">
        <v>6.1999999999999998E-3</v>
      </c>
      <c r="AH29" s="64"/>
      <c r="AJ29" s="64"/>
    </row>
    <row r="30" spans="1:36" x14ac:dyDescent="0.2">
      <c r="A30" s="42"/>
      <c r="B30" s="6" t="s">
        <v>21</v>
      </c>
      <c r="C30" s="91">
        <v>72</v>
      </c>
      <c r="D30" s="9" t="s">
        <v>22</v>
      </c>
      <c r="E30" s="29">
        <f>E29*C30</f>
        <v>25.919999999999998</v>
      </c>
      <c r="F30" s="10"/>
      <c r="G30" s="62" t="s">
        <v>58</v>
      </c>
      <c r="H30" s="27">
        <f>H29*1.75*0.5</f>
        <v>0.27387499999999998</v>
      </c>
      <c r="I30" s="49"/>
      <c r="J30" s="42"/>
      <c r="K30" s="74"/>
      <c r="L30" s="74"/>
      <c r="M30" s="78"/>
      <c r="N30" s="79"/>
      <c r="O30" s="79"/>
      <c r="P30" s="79"/>
      <c r="Q30" s="78"/>
      <c r="R30" s="79"/>
      <c r="S30" s="79"/>
      <c r="T30" s="79"/>
      <c r="U30" s="78"/>
      <c r="V30" s="79"/>
      <c r="W30" s="79"/>
      <c r="X30" s="79"/>
      <c r="Y30" s="78"/>
      <c r="Z30" s="24"/>
      <c r="AA30" s="16"/>
      <c r="AB30" s="16"/>
      <c r="AC30" s="45"/>
      <c r="AD30" s="81"/>
      <c r="AE30" s="64"/>
      <c r="AF30" s="64"/>
      <c r="AG30" s="64">
        <v>0</v>
      </c>
      <c r="AH30" s="64"/>
      <c r="AJ30" s="64"/>
    </row>
    <row r="31" spans="1:36" x14ac:dyDescent="0.2">
      <c r="A31" s="42"/>
      <c r="B31" s="44"/>
      <c r="C31" s="11"/>
      <c r="D31" s="8"/>
      <c r="E31" s="12"/>
      <c r="F31" s="13" t="s">
        <v>23</v>
      </c>
      <c r="G31" s="8"/>
      <c r="H31" s="28">
        <f>E30</f>
        <v>25.919999999999998</v>
      </c>
      <c r="I31" s="49"/>
      <c r="J31" s="42"/>
      <c r="K31" s="74"/>
      <c r="L31" s="74"/>
      <c r="M31" s="78"/>
      <c r="N31" s="79"/>
      <c r="O31" s="79"/>
      <c r="P31" s="79"/>
      <c r="Q31" s="78"/>
      <c r="R31" s="79"/>
      <c r="S31" s="79"/>
      <c r="T31" s="79"/>
      <c r="U31" s="78"/>
      <c r="V31" s="79"/>
      <c r="W31" s="79"/>
      <c r="X31" s="79"/>
      <c r="Y31" s="78"/>
      <c r="Z31" s="24"/>
      <c r="AA31" s="16"/>
      <c r="AB31" s="16"/>
      <c r="AC31" s="45"/>
      <c r="AD31" s="81"/>
      <c r="AE31" s="64"/>
      <c r="AF31" s="64"/>
      <c r="AG31" s="64"/>
      <c r="AH31" s="64"/>
      <c r="AJ31" s="64"/>
    </row>
    <row r="32" spans="1:36" x14ac:dyDescent="0.2">
      <c r="A32" s="42"/>
      <c r="B32" s="44"/>
      <c r="C32" s="11"/>
      <c r="D32" s="12"/>
      <c r="E32" s="12"/>
      <c r="F32" s="12"/>
      <c r="G32" s="14" t="s">
        <v>24</v>
      </c>
      <c r="H32" s="28">
        <f>SUM(H30:H31)</f>
        <v>26.193874999999998</v>
      </c>
      <c r="I32" s="45"/>
      <c r="J32" s="42"/>
      <c r="K32" s="74"/>
      <c r="L32" s="74"/>
      <c r="M32" s="78"/>
      <c r="N32" s="79"/>
      <c r="O32" s="79"/>
      <c r="P32" s="79"/>
      <c r="Q32" s="78"/>
      <c r="R32" s="79"/>
      <c r="S32" s="79"/>
      <c r="T32" s="79"/>
      <c r="U32" s="78"/>
      <c r="V32" s="79"/>
      <c r="W32" s="79"/>
      <c r="X32" s="79"/>
      <c r="Y32" s="78"/>
      <c r="Z32" s="24"/>
      <c r="AA32" s="16"/>
      <c r="AB32" s="16"/>
      <c r="AC32" s="45"/>
      <c r="AD32" s="81"/>
      <c r="AE32" s="64" t="s">
        <v>38</v>
      </c>
      <c r="AF32" s="64">
        <v>1.2E-2</v>
      </c>
      <c r="AG32" s="64">
        <v>0.27</v>
      </c>
      <c r="AH32" s="64"/>
      <c r="AJ32" s="64"/>
    </row>
    <row r="33" spans="1:36" x14ac:dyDescent="0.2">
      <c r="A33" s="42"/>
      <c r="B33" s="44"/>
      <c r="C33" s="15"/>
      <c r="D33" s="10"/>
      <c r="E33" s="10"/>
      <c r="F33" s="10"/>
      <c r="G33" s="9" t="s">
        <v>25</v>
      </c>
      <c r="H33" s="33">
        <f>H32*1.25</f>
        <v>32.742343749999996</v>
      </c>
      <c r="I33" s="50"/>
      <c r="J33" s="42"/>
      <c r="K33" s="74"/>
      <c r="L33" s="74"/>
      <c r="M33" s="78"/>
      <c r="N33" s="79"/>
      <c r="O33" s="79"/>
      <c r="P33" s="79"/>
      <c r="Q33" s="78"/>
      <c r="R33" s="79"/>
      <c r="S33" s="79"/>
      <c r="T33" s="79"/>
      <c r="U33" s="78"/>
      <c r="V33" s="79"/>
      <c r="W33" s="79"/>
      <c r="X33" s="79"/>
      <c r="Y33" s="78"/>
      <c r="Z33" s="24"/>
      <c r="AA33" s="16"/>
      <c r="AB33" s="16"/>
      <c r="AC33" s="45"/>
      <c r="AD33" s="81"/>
      <c r="AE33" s="64" t="s">
        <v>0</v>
      </c>
      <c r="AF33" s="64">
        <v>0</v>
      </c>
      <c r="AG33" s="64">
        <v>0</v>
      </c>
      <c r="AH33" s="64"/>
      <c r="AJ33" s="64"/>
    </row>
    <row r="34" spans="1:36" x14ac:dyDescent="0.2">
      <c r="A34" s="42"/>
      <c r="B34" s="44" t="s">
        <v>43</v>
      </c>
      <c r="C34" s="44"/>
      <c r="D34" s="44"/>
      <c r="E34" s="44"/>
      <c r="F34" s="44"/>
      <c r="G34" s="44"/>
      <c r="H34" s="44"/>
      <c r="I34" s="50"/>
      <c r="J34" s="42"/>
      <c r="K34" s="86"/>
      <c r="L34" s="86"/>
      <c r="M34" s="87"/>
      <c r="N34" s="88">
        <f t="shared" ref="N34:AC34" si="1">SUM(N7:N33)</f>
        <v>0</v>
      </c>
      <c r="O34" s="88">
        <f t="shared" si="1"/>
        <v>0</v>
      </c>
      <c r="P34" s="88"/>
      <c r="Q34" s="87"/>
      <c r="R34" s="88">
        <f t="shared" si="1"/>
        <v>0</v>
      </c>
      <c r="S34" s="88">
        <f t="shared" si="1"/>
        <v>0</v>
      </c>
      <c r="T34" s="88">
        <f t="shared" si="1"/>
        <v>0</v>
      </c>
      <c r="U34" s="79">
        <f t="shared" si="1"/>
        <v>0</v>
      </c>
      <c r="V34" s="79">
        <f t="shared" si="1"/>
        <v>0</v>
      </c>
      <c r="W34" s="79">
        <f t="shared" si="1"/>
        <v>0</v>
      </c>
      <c r="X34" s="79">
        <f t="shared" si="1"/>
        <v>0</v>
      </c>
      <c r="Y34" s="79">
        <f t="shared" si="1"/>
        <v>0</v>
      </c>
      <c r="Z34" s="88">
        <f t="shared" si="1"/>
        <v>0</v>
      </c>
      <c r="AA34" s="88">
        <f t="shared" si="1"/>
        <v>0</v>
      </c>
      <c r="AB34" s="88">
        <f t="shared" si="1"/>
        <v>0</v>
      </c>
      <c r="AC34" s="88">
        <f t="shared" si="1"/>
        <v>0</v>
      </c>
      <c r="AD34" s="81"/>
      <c r="AE34" s="64"/>
      <c r="AF34" s="64"/>
      <c r="AG34" s="64"/>
      <c r="AH34" s="64"/>
      <c r="AJ34" s="64"/>
    </row>
    <row r="35" spans="1:36" x14ac:dyDescent="0.2">
      <c r="A35" s="42"/>
      <c r="B35" s="74" t="s">
        <v>30</v>
      </c>
      <c r="C35" s="93" t="s">
        <v>31</v>
      </c>
      <c r="D35" s="93"/>
      <c r="E35" s="74"/>
      <c r="F35" s="44"/>
      <c r="G35" s="44"/>
      <c r="H35" s="44"/>
      <c r="I35" s="50"/>
      <c r="J35" s="42"/>
      <c r="K35" s="89"/>
      <c r="L35" s="89"/>
      <c r="M35" s="89"/>
      <c r="N35" s="90"/>
      <c r="O35" s="90"/>
      <c r="P35" s="90"/>
      <c r="Q35" s="89"/>
      <c r="R35" s="90"/>
      <c r="S35" s="90"/>
      <c r="T35" s="90"/>
      <c r="U35" s="89"/>
      <c r="V35" s="90"/>
      <c r="W35" s="90"/>
      <c r="X35" s="90"/>
      <c r="Y35" s="78"/>
      <c r="Z35" s="54"/>
      <c r="AA35" s="54"/>
      <c r="AB35" s="54"/>
      <c r="AC35" s="45"/>
      <c r="AD35" s="81"/>
      <c r="AE35" s="64" t="s">
        <v>39</v>
      </c>
      <c r="AF35" s="64">
        <v>2.5000000000000001E-2</v>
      </c>
      <c r="AG35" s="64">
        <v>3.4000000000000002E-2</v>
      </c>
      <c r="AH35" s="64"/>
      <c r="AJ35" s="64"/>
    </row>
    <row r="36" spans="1:36" x14ac:dyDescent="0.2">
      <c r="A36" s="42"/>
      <c r="B36" s="3" t="s">
        <v>29</v>
      </c>
      <c r="C36" s="101" t="s">
        <v>35</v>
      </c>
      <c r="D36" s="101"/>
      <c r="E36" s="44"/>
      <c r="F36" s="44"/>
      <c r="G36" s="44"/>
      <c r="H36" s="44"/>
      <c r="I36" s="51"/>
      <c r="J36" s="42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54"/>
      <c r="Y36" s="54"/>
      <c r="Z36" s="54"/>
      <c r="AA36" s="54"/>
      <c r="AB36" s="54"/>
      <c r="AC36" s="45"/>
      <c r="AD36" s="81"/>
      <c r="AE36" s="64" t="s">
        <v>40</v>
      </c>
      <c r="AF36" s="64">
        <v>2.5000000000000001E-2</v>
      </c>
      <c r="AG36" s="64">
        <v>9.9000000000000005E-2</v>
      </c>
      <c r="AH36" s="64"/>
      <c r="AJ36" s="64"/>
    </row>
    <row r="37" spans="1:36" x14ac:dyDescent="0.2">
      <c r="A37" s="42"/>
      <c r="B37" s="74"/>
      <c r="C37" s="93" t="s">
        <v>0</v>
      </c>
      <c r="D37" s="93"/>
      <c r="E37" s="74" t="str">
        <f>IF(C37="NONE","","Alarm load figure is all O/P ON")</f>
        <v/>
      </c>
      <c r="F37" s="75"/>
      <c r="G37" s="75"/>
      <c r="H37" s="44"/>
      <c r="I37" s="45"/>
      <c r="J37" s="42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54"/>
      <c r="AC37" s="45"/>
      <c r="AD37" s="81"/>
      <c r="AE37" s="64" t="s">
        <v>46</v>
      </c>
      <c r="AF37" s="64">
        <v>0.12</v>
      </c>
      <c r="AG37" s="64">
        <v>0.3</v>
      </c>
      <c r="AH37" s="64"/>
      <c r="AJ37" s="64"/>
    </row>
    <row r="38" spans="1:36" x14ac:dyDescent="0.2">
      <c r="A38" s="42"/>
      <c r="B38" s="74"/>
      <c r="C38" s="93" t="s">
        <v>0</v>
      </c>
      <c r="D38" s="93"/>
      <c r="E38" s="74" t="str">
        <f>IF(C38="NONE","","Alarm load figure is all LED ON")</f>
        <v/>
      </c>
      <c r="F38" s="74"/>
      <c r="G38" s="74"/>
      <c r="H38" s="73"/>
      <c r="I38" s="45"/>
      <c r="J38" s="42"/>
      <c r="K38" s="44"/>
      <c r="L38" t="s">
        <v>4</v>
      </c>
      <c r="M38" s="18">
        <f>SUM(N7:N33)</f>
        <v>0</v>
      </c>
      <c r="Q38" s="18">
        <f>SUM(R7:R33)</f>
        <v>0</v>
      </c>
      <c r="U38" s="18">
        <f>SUM(V7:V33)</f>
        <v>0</v>
      </c>
      <c r="Y38" s="18">
        <f>SUM(Z7:Z33)</f>
        <v>0</v>
      </c>
      <c r="Z38" s="4"/>
      <c r="AA38" s="4"/>
      <c r="AC38" s="45"/>
      <c r="AD38" s="81"/>
      <c r="AE38" s="64" t="s">
        <v>47</v>
      </c>
      <c r="AF38" s="64">
        <v>2.5000000000000001E-2</v>
      </c>
      <c r="AG38" s="64">
        <v>0.03</v>
      </c>
      <c r="AH38" s="64"/>
      <c r="AJ38" s="64"/>
    </row>
    <row r="39" spans="1:36" x14ac:dyDescent="0.2">
      <c r="A39" s="42"/>
      <c r="B39" s="74"/>
      <c r="C39" s="93" t="s">
        <v>0</v>
      </c>
      <c r="D39" s="93"/>
      <c r="E39" s="74" t="str">
        <f>IF(C39="NONE","","Alarm load figure is PRINTING")</f>
        <v/>
      </c>
      <c r="F39" s="74"/>
      <c r="G39" s="74"/>
      <c r="H39" s="73"/>
      <c r="I39" s="45"/>
      <c r="J39" s="42"/>
      <c r="K39" s="44"/>
      <c r="L39" t="s">
        <v>3</v>
      </c>
      <c r="M39" s="18">
        <f>SUM(O34+(IF(SUM(M7:M28)&lt;(NBRLED+1),SUM(M7:M28)*0.006,NBRLED*0.006)))</f>
        <v>0</v>
      </c>
      <c r="N39" s="18"/>
      <c r="O39" s="18"/>
      <c r="P39" s="18"/>
      <c r="Q39" s="18">
        <f>SUM(S34+(IF(SUM(Q7:Q28)&lt;(NBRLED+1),SUM(Q7:Q28)*0.006,NBRLED*0.006)))</f>
        <v>0</v>
      </c>
      <c r="R39" s="18"/>
      <c r="S39" s="18"/>
      <c r="T39" s="18"/>
      <c r="U39" s="18">
        <f t="shared" ref="U39:AC39" si="2">SUM(W34+(IF(SUM(U7:U28)&lt;(NBRLED+1),SUM(U7:U28)*0.006,NBRLED*0.006)))</f>
        <v>0</v>
      </c>
      <c r="V39" s="18">
        <f t="shared" si="2"/>
        <v>0</v>
      </c>
      <c r="W39" s="18">
        <f t="shared" si="2"/>
        <v>0</v>
      </c>
      <c r="X39" s="18">
        <f t="shared" si="2"/>
        <v>0</v>
      </c>
      <c r="Y39" s="18">
        <f t="shared" si="2"/>
        <v>0</v>
      </c>
      <c r="Z39" s="18">
        <f t="shared" si="2"/>
        <v>0</v>
      </c>
      <c r="AA39" s="18">
        <f t="shared" si="2"/>
        <v>0</v>
      </c>
      <c r="AB39" s="18">
        <f t="shared" si="2"/>
        <v>0</v>
      </c>
      <c r="AC39" s="18">
        <f t="shared" si="2"/>
        <v>0</v>
      </c>
      <c r="AD39" s="81"/>
      <c r="AE39" s="64" t="s">
        <v>48</v>
      </c>
      <c r="AF39" s="64">
        <v>0.05</v>
      </c>
      <c r="AG39" s="64">
        <v>0.05</v>
      </c>
      <c r="AH39" s="64"/>
      <c r="AJ39" s="64"/>
    </row>
    <row r="40" spans="1:36" x14ac:dyDescent="0.2">
      <c r="A40" s="42"/>
      <c r="B40" s="74"/>
      <c r="C40" s="93" t="s">
        <v>0</v>
      </c>
      <c r="D40" s="93"/>
      <c r="E40" s="74" t="str">
        <f>IF(C40="MXP-504","Alarm load figure is all O/P ON", IF(C40="MXP-504/508","Alarm load figure is all O/P ON",""))</f>
        <v/>
      </c>
      <c r="F40" s="74"/>
      <c r="G40" s="74"/>
      <c r="H40" s="73"/>
      <c r="I40" s="45"/>
      <c r="J40" s="42"/>
      <c r="K40" s="44"/>
      <c r="L40" t="s">
        <v>5</v>
      </c>
      <c r="M40" s="19" t="str">
        <f>IF(SUM(P7:P29)&gt;240,"Too Many",(IF(SUM(M39)&gt;0.5,"Too High","ok")))</f>
        <v>ok</v>
      </c>
      <c r="N40" s="19"/>
      <c r="O40" s="19"/>
      <c r="P40" s="19"/>
      <c r="Q40" s="19" t="str">
        <f>IF(SUM(T7:T29)&gt;240,"Too Many",(IF(SUM(Q39)&gt;0.5,"Too High","ok")))</f>
        <v>ok</v>
      </c>
      <c r="R40" s="19"/>
      <c r="S40" s="19"/>
      <c r="T40" s="19"/>
      <c r="U40" s="19" t="str">
        <f>IF(SUM(X7:X29)&gt;254,"Too Many",(IF(SUM(U39)&gt;0.5,"Too High","ok")))</f>
        <v>ok</v>
      </c>
      <c r="V40" s="19"/>
      <c r="W40" s="19"/>
      <c r="X40" s="19"/>
      <c r="Y40" s="19" t="str">
        <f>IF(SUM(AB7:AB29)&gt;254,"Too Many",(IF(SUM(Y39)&gt;0.5,"Too High","ok")))</f>
        <v>ok</v>
      </c>
      <c r="Z40" s="4"/>
      <c r="AA40" s="4"/>
      <c r="AB40" s="19"/>
      <c r="AC40" s="45"/>
      <c r="AD40" s="81"/>
      <c r="AE40" s="64" t="s">
        <v>0</v>
      </c>
      <c r="AF40" s="64">
        <v>0</v>
      </c>
      <c r="AG40" s="64">
        <v>0</v>
      </c>
      <c r="AH40" s="64"/>
      <c r="AJ40" s="64"/>
    </row>
    <row r="41" spans="1:36" x14ac:dyDescent="0.2">
      <c r="A41" s="42"/>
      <c r="B41" s="74"/>
      <c r="C41" s="74"/>
      <c r="D41" s="74"/>
      <c r="E41" s="74" t="str">
        <f>IF(C40="MXP-504","Add required FAT,FBF,Router AUX loads above",IF(C40="mxp-504/508","Add required FAT,FBF,Router AUX loads above",""))</f>
        <v/>
      </c>
      <c r="F41" s="74"/>
      <c r="G41" s="74"/>
      <c r="H41" s="73"/>
      <c r="I41" s="45"/>
      <c r="J41" s="4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"/>
      <c r="AA41" s="4"/>
      <c r="AB41" s="44"/>
      <c r="AC41" s="45"/>
      <c r="AD41" s="81"/>
      <c r="AE41" s="64"/>
      <c r="AF41" s="64"/>
      <c r="AG41" s="64"/>
      <c r="AH41" s="64"/>
      <c r="AJ41" s="64"/>
    </row>
    <row r="42" spans="1:36" x14ac:dyDescent="0.2">
      <c r="A42" s="42"/>
      <c r="B42" s="74" t="s">
        <v>42</v>
      </c>
      <c r="C42" s="94" t="str">
        <f>IF(H33&gt;45.01,"NONE",IF(H33&gt;17.01,"DEEP",IF(H33&gt;12,"LARGE",IF(B7=5400,"LARGE",IF(H33&gt;7,"MEDIUM",IF(B7=5200,"MEDIUM",IF(C40&lt;&gt;"NONE","MEDIUM",IF(C39&lt;&gt;"NONE","MEDIUM","SMALL"))))))))</f>
        <v>DEEP</v>
      </c>
      <c r="D42" s="94"/>
      <c r="E42" s="94" t="str">
        <f>IF(C42="NONE","MAX BATTERY SIZE IS 45AH",IF(B7&lt;&gt;5100,"",IF(H33&gt;25,"MAX BATTERY SIZE IS 25AH","")))</f>
        <v/>
      </c>
      <c r="F42" s="94"/>
      <c r="G42" s="94"/>
      <c r="H42" s="73"/>
      <c r="I42" s="45"/>
      <c r="J42" s="42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"/>
      <c r="AA42" s="4"/>
      <c r="AB42" s="44"/>
      <c r="AC42" s="45"/>
      <c r="AD42" s="81"/>
      <c r="AE42" s="64"/>
      <c r="AF42" s="64"/>
      <c r="AG42" s="64"/>
      <c r="AH42" s="64"/>
      <c r="AJ42" s="64"/>
    </row>
    <row r="43" spans="1:36" ht="13.5" thickBot="1" x14ac:dyDescent="0.25">
      <c r="A43" s="43"/>
      <c r="B43" s="53"/>
      <c r="C43" s="53"/>
      <c r="D43" s="53"/>
      <c r="E43" s="53"/>
      <c r="F43" s="53"/>
      <c r="G43" s="53"/>
      <c r="H43" s="53"/>
      <c r="I43" s="52"/>
      <c r="J43" s="4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6"/>
      <c r="V43" s="53"/>
      <c r="W43" s="53"/>
      <c r="X43" s="53"/>
      <c r="Y43" s="55" t="s">
        <v>76</v>
      </c>
      <c r="Z43" s="21"/>
      <c r="AA43" s="21"/>
      <c r="AB43" s="53"/>
      <c r="AC43" s="52"/>
      <c r="AD43" s="82"/>
      <c r="AE43" s="64"/>
      <c r="AF43" s="64"/>
      <c r="AG43" s="64"/>
      <c r="AH43" s="64"/>
      <c r="AJ43" s="64"/>
    </row>
    <row r="44" spans="1:36" x14ac:dyDescent="0.2">
      <c r="Y44">
        <v>4</v>
      </c>
    </row>
  </sheetData>
  <mergeCells count="12">
    <mergeCell ref="M4:AA4"/>
    <mergeCell ref="C39:D39"/>
    <mergeCell ref="C40:D40"/>
    <mergeCell ref="E42:G42"/>
    <mergeCell ref="C2:H2"/>
    <mergeCell ref="C3:E3"/>
    <mergeCell ref="G3:H3"/>
    <mergeCell ref="C38:D38"/>
    <mergeCell ref="C42:D42"/>
    <mergeCell ref="C35:D35"/>
    <mergeCell ref="C36:D36"/>
    <mergeCell ref="C37:D37"/>
  </mergeCells>
  <phoneticPr fontId="0" type="noConversion"/>
  <conditionalFormatting sqref="C15 F15 C13:G14">
    <cfRule type="expression" dxfId="41" priority="2" stopIfTrue="1">
      <formula>$D$14=0</formula>
    </cfRule>
  </conditionalFormatting>
  <conditionalFormatting sqref="C42:D42">
    <cfRule type="cellIs" dxfId="40" priority="14" stopIfTrue="1" operator="equal">
      <formula>"NONE"</formula>
    </cfRule>
  </conditionalFormatting>
  <conditionalFormatting sqref="C11:G12">
    <cfRule type="expression" dxfId="39" priority="8" stopIfTrue="1">
      <formula>$D$12=0</formula>
    </cfRule>
  </conditionalFormatting>
  <conditionalFormatting sqref="C11:G16">
    <cfRule type="expression" dxfId="38" priority="19" stopIfTrue="1">
      <formula>$B$7=5100</formula>
    </cfRule>
  </conditionalFormatting>
  <conditionalFormatting sqref="C13:G16">
    <cfRule type="expression" dxfId="37" priority="21" stopIfTrue="1">
      <formula>$B$7=5200</formula>
    </cfRule>
  </conditionalFormatting>
  <conditionalFormatting sqref="C15:G16">
    <cfRule type="expression" dxfId="36" priority="1" stopIfTrue="1">
      <formula>$D$16=0</formula>
    </cfRule>
  </conditionalFormatting>
  <conditionalFormatting sqref="C22:G22">
    <cfRule type="expression" dxfId="35" priority="12" stopIfTrue="1">
      <formula>$B$22=""</formula>
    </cfRule>
  </conditionalFormatting>
  <conditionalFormatting sqref="E29">
    <cfRule type="cellIs" dxfId="34" priority="35" stopIfTrue="1" operator="greaterThan">
      <formula>2.601</formula>
    </cfRule>
    <cfRule type="expression" dxfId="33" priority="34" stopIfTrue="1">
      <formula>$B$7=5100</formula>
    </cfRule>
    <cfRule type="cellIs" dxfId="32" priority="33" stopIfTrue="1" operator="lessThanOrEqual">
      <formula>1.6</formula>
    </cfRule>
  </conditionalFormatting>
  <conditionalFormatting sqref="E42:G42">
    <cfRule type="cellIs" dxfId="31" priority="22" stopIfTrue="1" operator="notEqual">
      <formula>""</formula>
    </cfRule>
  </conditionalFormatting>
  <conditionalFormatting sqref="F27:G28">
    <cfRule type="expression" dxfId="30" priority="13" stopIfTrue="1">
      <formula>$B$27=""</formula>
    </cfRule>
  </conditionalFormatting>
  <conditionalFormatting sqref="H12">
    <cfRule type="expression" dxfId="29" priority="11" stopIfTrue="1">
      <formula>"""if($D$12)=0"""</formula>
    </cfRule>
  </conditionalFormatting>
  <conditionalFormatting sqref="H29">
    <cfRule type="expression" dxfId="28" priority="17" stopIfTrue="1">
      <formula>$B$7="5100"</formula>
    </cfRule>
    <cfRule type="cellIs" dxfId="27" priority="18" stopIfTrue="1" operator="greaterThan">
      <formula>5.001</formula>
    </cfRule>
    <cfRule type="cellIs" priority="16" stopIfTrue="1" operator="lessThanOrEqual">
      <formula>3</formula>
    </cfRule>
  </conditionalFormatting>
  <conditionalFormatting sqref="H33">
    <cfRule type="cellIs" dxfId="26" priority="23" stopIfTrue="1" operator="lessThanOrEqual">
      <formula>25</formula>
    </cfRule>
    <cfRule type="expression" dxfId="25" priority="24" stopIfTrue="1">
      <formula>$B$7=5100</formula>
    </cfRule>
    <cfRule type="cellIs" dxfId="24" priority="25" stopIfTrue="1" operator="greaterThan">
      <formula>45.01</formula>
    </cfRule>
  </conditionalFormatting>
  <conditionalFormatting sqref="M40">
    <cfRule type="cellIs" dxfId="23" priority="15" stopIfTrue="1" operator="notEqual">
      <formula>"ok"</formula>
    </cfRule>
  </conditionalFormatting>
  <conditionalFormatting sqref="M4:AA4">
    <cfRule type="expression" dxfId="22" priority="9" stopIfTrue="1">
      <formula>$B$7=5200</formula>
    </cfRule>
  </conditionalFormatting>
  <conditionalFormatting sqref="M4:AB4">
    <cfRule type="expression" dxfId="21" priority="36" stopIfTrue="1">
      <formula>$B$7=5400</formula>
    </cfRule>
  </conditionalFormatting>
  <conditionalFormatting sqref="Q6">
    <cfRule type="expression" dxfId="20" priority="7" stopIfTrue="1">
      <formula>$B$7=5100</formula>
    </cfRule>
  </conditionalFormatting>
  <conditionalFormatting sqref="Q7:Q33">
    <cfRule type="expression" dxfId="19" priority="10" stopIfTrue="1">
      <formula>$Q$6="NotFit"</formula>
    </cfRule>
    <cfRule type="expression" dxfId="18" priority="26" stopIfTrue="1">
      <formula>$B$7=5100</formula>
    </cfRule>
  </conditionalFormatting>
  <conditionalFormatting sqref="Q38:Q40">
    <cfRule type="expression" dxfId="17" priority="28" stopIfTrue="1">
      <formula>$B$7=5100</formula>
    </cfRule>
  </conditionalFormatting>
  <conditionalFormatting sqref="Q40">
    <cfRule type="cellIs" dxfId="16" priority="29" stopIfTrue="1" operator="notEqual">
      <formula>"ok"</formula>
    </cfRule>
  </conditionalFormatting>
  <conditionalFormatting sqref="R39:U39">
    <cfRule type="expression" dxfId="15" priority="30" stopIfTrue="1">
      <formula>$B$7=5100</formula>
    </cfRule>
  </conditionalFormatting>
  <conditionalFormatting sqref="U6">
    <cfRule type="expression" dxfId="14" priority="6" stopIfTrue="1">
      <formula>$B$7&lt;&gt;5400</formula>
    </cfRule>
  </conditionalFormatting>
  <conditionalFormatting sqref="U7:U33">
    <cfRule type="expression" dxfId="13" priority="4" stopIfTrue="1">
      <formula>$U$6="NotFit"</formula>
    </cfRule>
  </conditionalFormatting>
  <conditionalFormatting sqref="U40 Y40">
    <cfRule type="expression" dxfId="12" priority="31" stopIfTrue="1">
      <formula>$B$7&lt;&gt;5400</formula>
    </cfRule>
    <cfRule type="cellIs" dxfId="11" priority="32" stopIfTrue="1" operator="notEqual">
      <formula>"ok"</formula>
    </cfRule>
  </conditionalFormatting>
  <conditionalFormatting sqref="U7:Y33 Y35 K36:W36 K37:X37 U38:Y38 V39:AC39">
    <cfRule type="expression" dxfId="10" priority="27" stopIfTrue="1">
      <formula>$B$7&lt;&gt;5400</formula>
    </cfRule>
  </conditionalFormatting>
  <conditionalFormatting sqref="Y6">
    <cfRule type="expression" dxfId="9" priority="5" stopIfTrue="1">
      <formula>$B$7&lt;&gt;5400</formula>
    </cfRule>
  </conditionalFormatting>
  <conditionalFormatting sqref="Y7:Y33 Y35 K36:W36 K37:X37">
    <cfRule type="expression" dxfId="8" priority="3" stopIfTrue="1">
      <formula>$Y$6="NotFit"</formula>
    </cfRule>
  </conditionalFormatting>
  <dataValidations xWindow="823" yWindow="246" count="24">
    <dataValidation type="list" allowBlank="1" showInputMessage="1" showErrorMessage="1" sqref="C35:D35" xr:uid="{00000000-0002-0000-0000-000000000000}">
      <formula1>$AE$7:$AE$9</formula1>
    </dataValidation>
    <dataValidation type="list" allowBlank="1" showInputMessage="1" showErrorMessage="1" sqref="C36" xr:uid="{00000000-0002-0000-0000-000001000000}">
      <formula1>$AE$11:$AE$13</formula1>
    </dataValidation>
    <dataValidation type="list" allowBlank="1" showInputMessage="1" showErrorMessage="1" sqref="C37" xr:uid="{00000000-0002-0000-0000-000002000000}">
      <formula1>$AE$15:$AE$17</formula1>
    </dataValidation>
    <dataValidation type="list" allowBlank="1" showInputMessage="1" showErrorMessage="1" promptTitle="ADDRESSABLE DEVICES" prompt="Select the required device type from the list._x000a_The loop loading currents are automatically entered and used." sqref="K7:K28" xr:uid="{00000000-0002-0000-0000-000003000000}">
      <formula1>Apollo</formula1>
    </dataValidation>
    <dataValidation type="decimal" allowBlank="1" showInputMessage="1" showErrorMessage="1" errorTitle="SOUNDER LOAD" error="Range is 0 to 1.0A" promptTitle="SOUNDER LOAD" prompt="Range: 0 to 1A" sqref="F25:F28" xr:uid="{00000000-0002-0000-0000-000004000000}">
      <formula1>0</formula1>
      <formula2>1</formula2>
    </dataValidation>
    <dataValidation type="decimal" allowBlank="1" showInputMessage="1" showErrorMessage="1" errorTitle="AUX LOAD" error="Range is 0 to 0.5A" promptTitle="PANEL AUX LOAD" prompt="Enter alarm load supplied from Panel AUX" sqref="F23" xr:uid="{00000000-0002-0000-0000-000005000000}">
      <formula1>0</formula1>
      <formula2>0.5</formula2>
    </dataValidation>
    <dataValidation allowBlank="1" showInputMessage="1" showErrorMessage="1" promptTitle="PROJECT" prompt="Enter the name of the project / building to which this design applies" sqref="C2:H2" xr:uid="{00000000-0002-0000-0000-000006000000}"/>
    <dataValidation allowBlank="1" showInputMessage="1" showErrorMessage="1" promptTitle="YOUR NAME" prompt="Enter your name" sqref="C3:E3" xr:uid="{00000000-0002-0000-0000-000007000000}"/>
    <dataValidation operator="equal" allowBlank="1" showInputMessage="1" showErrorMessage="1" promptTitle="DATE" prompt="Enter date in dd/mm/yyyy format" sqref="G3:H3" xr:uid="{00000000-0002-0000-0000-000008000000}"/>
    <dataValidation type="decimal" allowBlank="1" showInputMessage="1" showErrorMessage="1" errorTitle="AUX LOAD" error="Range is 0 to 0.5A" promptTitle="AUX LOAD" prompt="Enter quiescent load taken by FAT and Routers" sqref="C22" xr:uid="{00000000-0002-0000-0000-000009000000}">
      <formula1>0</formula1>
      <formula2>0.5</formula2>
    </dataValidation>
    <dataValidation type="decimal" allowBlank="1" showInputMessage="1" showErrorMessage="1" errorTitle="AUX LOAD" error="Range is 0 to 0.5A" promptTitle="AUX LOAD" prompt="Enter alarm load taken by FAT and Routers" sqref="F22" xr:uid="{00000000-0002-0000-0000-00000A000000}">
      <formula1>0</formula1>
      <formula2>0.5</formula2>
    </dataValidation>
    <dataValidation type="decimal" allowBlank="1" showInputMessage="1" showErrorMessage="1" errorTitle="AUX LOAD MAXIMUM" error="Range is 0 to 0.5A" promptTitle="PANEL AUX LOAD" prompt="Enter quiescent load supplied from Panel AUX" sqref="C23" xr:uid="{00000000-0002-0000-0000-00000B000000}">
      <formula1>0</formula1>
      <formula2>0.5</formula2>
    </dataValidation>
    <dataValidation type="list" allowBlank="1" showInputMessage="1" showErrorMessage="1" promptTitle="PANEL TYPE" prompt="Select the required panel type" sqref="B7" xr:uid="{00000000-0002-0000-0000-00000C000000}">
      <formula1>$AI$13:$AI$15</formula1>
    </dataValidation>
    <dataValidation type="list" allowBlank="1" showInputMessage="1" showErrorMessage="1" sqref="C38" xr:uid="{00000000-0002-0000-0000-00000D000000}">
      <formula1>$AE$20:$AE$26</formula1>
    </dataValidation>
    <dataValidation type="list" allowBlank="1" showInputMessage="1" showErrorMessage="1" sqref="C39" xr:uid="{00000000-0002-0000-0000-00000E000000}">
      <formula1>$AE$32:$AE$33</formula1>
    </dataValidation>
    <dataValidation type="list" allowBlank="1" showInputMessage="1" showErrorMessage="1" sqref="C40:D40" xr:uid="{00000000-0002-0000-0000-00000F000000}">
      <formula1>$AE$35:$AE$40</formula1>
    </dataValidation>
    <dataValidation type="whole" allowBlank="1" showInputMessage="1" showErrorMessage="1" promptTitle="Detector Base Sounders" prompt="Add the number of sounder detector bases." sqref="M32 Q32 U32" xr:uid="{00000000-0002-0000-0000-000010000000}">
      <formula1>0</formula1>
      <formula2>240</formula2>
    </dataValidation>
    <dataValidation type="whole" allowBlank="1" showInputMessage="1" showErrorMessage="1" errorTitle="Too Many Devices" error="Valid Range is 0-240" promptTitle="Detector Base Relays" prompt="Add the number of relay detector bases." sqref="M31 Q31 U31 Y31:Y32" xr:uid="{00000000-0002-0000-0000-000011000000}">
      <formula1>0</formula1>
      <formula2>240</formula2>
    </dataValidation>
    <dataValidation type="whole" allowBlank="1" showInputMessage="1" showErrorMessage="1" errorTitle="Too Many Devices" error="Valid Range is 0-240" promptTitle="Detector Base Remote Indicators" prompt="Add the number of remote indicators connected to devices." sqref="M30 Q30 U30 Y30" xr:uid="{00000000-0002-0000-0000-000012000000}">
      <formula1>0</formula1>
      <formula2>240</formula2>
    </dataValidation>
    <dataValidation type="whole" allowBlank="1" showInputMessage="1" showErrorMessage="1" errorTitle="Too Many Devices" error="Valid Range is 0-224" promptTitle="Wireless Devices" prompt="Enter the number of addressable wireless devices. A maximum of 32 per translator. Add the required number of translators above." sqref="M29 Q29 U29 Y29" xr:uid="{00000000-0002-0000-0000-000013000000}">
      <formula1>0</formula1>
      <formula2>224</formula2>
    </dataValidation>
    <dataValidation type="whole" allowBlank="1" showInputMessage="1" showErrorMessage="1" errorTitle="Too Many Devices" error="Valid Range is 0-240" sqref="Y7:Y28 Q7:Q28 U7:U28 M7:M28" xr:uid="{00000000-0002-0000-0000-000014000000}">
      <formula1>0</formula1>
      <formula2>240</formula2>
    </dataValidation>
    <dataValidation type="list" allowBlank="1" showInputMessage="1" showErrorMessage="1" promptTitle="Loop Driver" prompt="Select between &quot;Fitted&quot; and &quot;NotFit&quot;" sqref="Q6 Y6 U6" xr:uid="{00000000-0002-0000-0000-000015000000}">
      <formula1>$AI$18:$AI$19</formula1>
    </dataValidation>
    <dataValidation allowBlank="1" showInputMessage="1" showErrorMessage="1" promptTitle="Loop Drive" prompt="Loop 1 is always fitted." sqref="M6" xr:uid="{00000000-0002-0000-0000-000016000000}"/>
    <dataValidation type="list" allowBlank="1" showInputMessage="1" showErrorMessage="1" sqref="C30" xr:uid="{00000000-0002-0000-0000-000017000000}">
      <formula1>$AI$8:$AI$9</formula1>
    </dataValidation>
  </dataValidations>
  <pageMargins left="0.75" right="0.75" top="1" bottom="1" header="0.5" footer="0.5"/>
  <pageSetup paperSize="9" scale="75" fitToHeight="0" orientation="landscape" r:id="rId1"/>
  <headerFooter alignWithMargins="0"/>
  <ignoredErrors>
    <ignoredError sqref="M39" formulaRange="1"/>
    <ignoredError sqref="H11:H14 H15 E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F12" sqref="F12"/>
    </sheetView>
  </sheetViews>
  <sheetFormatPr defaultRowHeight="12.75" x14ac:dyDescent="0.2"/>
  <cols>
    <col min="1" max="1" width="25.85546875" customWidth="1"/>
  </cols>
  <sheetData>
    <row r="1" spans="1:7" x14ac:dyDescent="0.2">
      <c r="A1" s="1" t="s">
        <v>69</v>
      </c>
      <c r="B1" s="3"/>
      <c r="C1" s="5" t="s">
        <v>4</v>
      </c>
      <c r="D1" s="1"/>
      <c r="E1" s="3"/>
      <c r="F1" s="5" t="s">
        <v>9</v>
      </c>
      <c r="G1" s="1"/>
    </row>
    <row r="2" spans="1:7" x14ac:dyDescent="0.2">
      <c r="A2" s="6"/>
      <c r="B2" s="5" t="s">
        <v>10</v>
      </c>
      <c r="C2" s="5" t="s">
        <v>11</v>
      </c>
      <c r="D2" s="5" t="s">
        <v>12</v>
      </c>
      <c r="E2" s="5" t="s">
        <v>10</v>
      </c>
      <c r="F2" s="5" t="s">
        <v>11</v>
      </c>
      <c r="G2" s="5" t="s">
        <v>12</v>
      </c>
    </row>
    <row r="3" spans="1:7" x14ac:dyDescent="0.2">
      <c r="A3" s="6"/>
      <c r="B3" s="5"/>
      <c r="C3" s="5"/>
      <c r="D3" s="5"/>
      <c r="E3" s="68"/>
      <c r="F3" s="5"/>
      <c r="G3" s="5"/>
    </row>
    <row r="4" spans="1:7" x14ac:dyDescent="0.2">
      <c r="A4" s="6" t="s">
        <v>59</v>
      </c>
      <c r="B4" s="67">
        <v>0.1</v>
      </c>
      <c r="C4" s="3">
        <v>4</v>
      </c>
      <c r="D4" s="25">
        <f>B4*C4</f>
        <v>0.4</v>
      </c>
      <c r="E4" s="66">
        <v>0.3</v>
      </c>
      <c r="F4" s="3">
        <f>C4</f>
        <v>4</v>
      </c>
      <c r="G4" s="25">
        <f>E4*F4</f>
        <v>1.2</v>
      </c>
    </row>
    <row r="5" spans="1:7" x14ac:dyDescent="0.2">
      <c r="A5" s="6" t="s">
        <v>60</v>
      </c>
      <c r="B5" s="67">
        <v>2.5000000000000001E-2</v>
      </c>
      <c r="C5" s="3">
        <v>3</v>
      </c>
      <c r="D5" s="25">
        <f>B5*C5</f>
        <v>7.5000000000000011E-2</v>
      </c>
      <c r="E5" s="66">
        <v>0.03</v>
      </c>
      <c r="F5" s="3">
        <f>C5</f>
        <v>3</v>
      </c>
      <c r="G5" s="25">
        <f>E5*F5</f>
        <v>0.09</v>
      </c>
    </row>
    <row r="6" spans="1:7" x14ac:dyDescent="0.2">
      <c r="A6" s="6" t="s">
        <v>61</v>
      </c>
      <c r="B6" s="67">
        <v>0.2</v>
      </c>
      <c r="C6" s="3">
        <v>3</v>
      </c>
      <c r="D6" s="25">
        <f>B6*C6</f>
        <v>0.60000000000000009</v>
      </c>
      <c r="E6" s="66">
        <v>0.06</v>
      </c>
      <c r="F6" s="3">
        <f>C6</f>
        <v>3</v>
      </c>
      <c r="G6" s="25">
        <f>E6*F6</f>
        <v>0.18</v>
      </c>
    </row>
    <row r="7" spans="1:7" x14ac:dyDescent="0.2">
      <c r="A7" s="6"/>
      <c r="B7" s="16"/>
      <c r="C7" s="3"/>
      <c r="D7" s="16"/>
      <c r="E7" s="24"/>
      <c r="F7" s="17"/>
      <c r="G7" s="16"/>
    </row>
    <row r="8" spans="1:7" x14ac:dyDescent="0.2">
      <c r="A8" s="34" t="s">
        <v>12</v>
      </c>
      <c r="B8" s="35" t="s">
        <v>44</v>
      </c>
      <c r="C8" s="36"/>
      <c r="D8" s="38">
        <f>SUM(D2:D4)</f>
        <v>0.4</v>
      </c>
      <c r="E8" s="35" t="s">
        <v>20</v>
      </c>
      <c r="F8" s="36"/>
      <c r="G8" s="37">
        <f>SUM(G4:G7)</f>
        <v>1.47</v>
      </c>
    </row>
    <row r="9" spans="1:7" x14ac:dyDescent="0.2">
      <c r="A9" s="6" t="s">
        <v>21</v>
      </c>
      <c r="B9" s="30">
        <v>24</v>
      </c>
      <c r="C9" s="9" t="s">
        <v>22</v>
      </c>
      <c r="D9" s="29">
        <f>D8*B9</f>
        <v>9.6000000000000014</v>
      </c>
      <c r="E9" s="10"/>
      <c r="F9" s="62" t="s">
        <v>58</v>
      </c>
      <c r="G9" s="27">
        <f>G8*1.75*0.5</f>
        <v>1.2862499999999999</v>
      </c>
    </row>
    <row r="10" spans="1:7" x14ac:dyDescent="0.2">
      <c r="A10" s="44"/>
      <c r="B10" s="11"/>
      <c r="C10" s="8"/>
      <c r="D10" s="12"/>
      <c r="E10" s="13" t="s">
        <v>23</v>
      </c>
      <c r="F10" s="8"/>
      <c r="G10" s="28">
        <f>D9</f>
        <v>9.6000000000000014</v>
      </c>
    </row>
    <row r="11" spans="1:7" x14ac:dyDescent="0.2">
      <c r="A11" s="44"/>
      <c r="B11" s="11"/>
      <c r="C11" s="12"/>
      <c r="D11" s="12"/>
      <c r="E11" s="12"/>
      <c r="F11" s="14" t="s">
        <v>24</v>
      </c>
      <c r="G11" s="28">
        <f>SUM(G9:G10)</f>
        <v>10.88625</v>
      </c>
    </row>
    <row r="12" spans="1:7" x14ac:dyDescent="0.2">
      <c r="A12" s="44"/>
      <c r="B12" s="15"/>
      <c r="C12" s="10"/>
      <c r="D12" s="10"/>
      <c r="E12" s="10"/>
      <c r="F12" s="9" t="s">
        <v>25</v>
      </c>
      <c r="G12" s="33">
        <f>G11*1.25</f>
        <v>13.607812500000001</v>
      </c>
    </row>
  </sheetData>
  <conditionalFormatting sqref="D8">
    <cfRule type="cellIs" dxfId="7" priority="16" stopIfTrue="1" operator="lessThanOrEqual">
      <formula>1.6</formula>
    </cfRule>
    <cfRule type="expression" dxfId="6" priority="17" stopIfTrue="1">
      <formula>#REF!=5100</formula>
    </cfRule>
    <cfRule type="cellIs" dxfId="5" priority="18" stopIfTrue="1" operator="greaterThan">
      <formula>2.601</formula>
    </cfRule>
  </conditionalFormatting>
  <conditionalFormatting sqref="G8">
    <cfRule type="cellIs" priority="7" stopIfTrue="1" operator="lessThanOrEqual">
      <formula>3</formula>
    </cfRule>
    <cfRule type="expression" dxfId="4" priority="8" stopIfTrue="1">
      <formula>#REF!="5100"</formula>
    </cfRule>
    <cfRule type="cellIs" dxfId="3" priority="9" stopIfTrue="1" operator="greaterThan">
      <formula>5.001</formula>
    </cfRule>
  </conditionalFormatting>
  <conditionalFormatting sqref="G12">
    <cfRule type="cellIs" dxfId="2" priority="13" stopIfTrue="1" operator="lessThanOrEqual">
      <formula>25</formula>
    </cfRule>
    <cfRule type="expression" dxfId="1" priority="14" stopIfTrue="1">
      <formula>#REF!=5100</formula>
    </cfRule>
    <cfRule type="cellIs" dxfId="0" priority="15" stopIfTrue="1" operator="greaterThan">
      <formula>45.01</formula>
    </cfRule>
  </conditionalFormatting>
  <dataValidations count="2">
    <dataValidation type="decimal" allowBlank="1" showInputMessage="1" showErrorMessage="1" errorTitle="AUX LOAD MAXIMUM" error="Range is 0 to 0.5A" promptTitle="PANEL AUX LOAD" prompt="Enter quiescent load supplied from Panel AUX" sqref="B4:B6" xr:uid="{00000000-0002-0000-0100-000000000000}">
      <formula1>0</formula1>
      <formula2>0.5</formula2>
    </dataValidation>
    <dataValidation type="list" allowBlank="1" showInputMessage="1" showErrorMessage="1" sqref="B9" xr:uid="{00000000-0002-0000-0100-000001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E7"/>
  <sheetViews>
    <sheetView workbookViewId="0">
      <selection activeCell="E6" sqref="E6"/>
    </sheetView>
  </sheetViews>
  <sheetFormatPr defaultRowHeight="12.75" x14ac:dyDescent="0.2"/>
  <cols>
    <col min="1" max="1" width="20.5703125" bestFit="1" customWidth="1"/>
    <col min="2" max="2" width="47.7109375" customWidth="1"/>
    <col min="3" max="3" width="11.42578125" style="32" customWidth="1"/>
    <col min="4" max="4" width="11.140625" style="32" customWidth="1"/>
  </cols>
  <sheetData>
    <row r="1" spans="1:5" x14ac:dyDescent="0.2">
      <c r="A1" s="76" t="s">
        <v>62</v>
      </c>
      <c r="B1" t="s">
        <v>64</v>
      </c>
      <c r="C1" s="32">
        <v>9.0000000000000006E-5</v>
      </c>
      <c r="D1" s="32">
        <v>8.0000000000000002E-3</v>
      </c>
      <c r="E1">
        <v>1</v>
      </c>
    </row>
    <row r="2" spans="1:5" x14ac:dyDescent="0.2">
      <c r="A2" s="76" t="s">
        <v>63</v>
      </c>
      <c r="B2" t="s">
        <v>65</v>
      </c>
      <c r="C2" s="32">
        <v>9.0000000000000006E-5</v>
      </c>
      <c r="D2" s="32">
        <v>2.5000000000000001E-2</v>
      </c>
      <c r="E2">
        <v>1</v>
      </c>
    </row>
    <row r="3" spans="1:5" x14ac:dyDescent="0.2">
      <c r="A3" s="57" t="s">
        <v>70</v>
      </c>
      <c r="B3" s="57" t="s">
        <v>72</v>
      </c>
      <c r="C3" s="32">
        <v>9.0000000000000006E-5</v>
      </c>
      <c r="D3" s="32">
        <v>9.0000000000000006E-5</v>
      </c>
      <c r="E3">
        <v>0</v>
      </c>
    </row>
    <row r="4" spans="1:5" x14ac:dyDescent="0.2">
      <c r="A4" s="57" t="s">
        <v>67</v>
      </c>
      <c r="B4" s="57" t="s">
        <v>49</v>
      </c>
      <c r="C4" s="32">
        <v>2.0000000000000001E-4</v>
      </c>
      <c r="D4" s="32">
        <v>2.0000000000000001E-4</v>
      </c>
      <c r="E4">
        <v>1</v>
      </c>
    </row>
    <row r="5" spans="1:5" x14ac:dyDescent="0.2">
      <c r="A5" s="57" t="s">
        <v>68</v>
      </c>
      <c r="B5" s="57" t="s">
        <v>51</v>
      </c>
      <c r="C5" s="32">
        <v>0.02</v>
      </c>
      <c r="D5" s="32">
        <v>0.02</v>
      </c>
      <c r="E5">
        <v>1</v>
      </c>
    </row>
    <row r="6" spans="1:5" x14ac:dyDescent="0.2">
      <c r="A6" s="76" t="s">
        <v>74</v>
      </c>
      <c r="B6" s="76" t="s">
        <v>75</v>
      </c>
      <c r="C6" s="32">
        <v>9.0000000000000006E-5</v>
      </c>
      <c r="D6" s="32">
        <v>9.0000000000000006E-5</v>
      </c>
      <c r="E6">
        <v>0</v>
      </c>
    </row>
    <row r="7" spans="1:5" x14ac:dyDescent="0.2">
      <c r="A7" s="57" t="s">
        <v>71</v>
      </c>
      <c r="B7" s="57" t="s">
        <v>73</v>
      </c>
      <c r="C7" s="32">
        <v>1.8000000000000001E-4</v>
      </c>
      <c r="D7" s="32">
        <v>1.8000000000000001E-4</v>
      </c>
      <c r="E7"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bb8f35-ae76-4bc2-afb7-c3a3c65b03b8">
      <Terms xmlns="http://schemas.microsoft.com/office/infopath/2007/PartnerControls"/>
    </lcf76f155ced4ddcb4097134ff3c332f>
    <TaxCatchAll xmlns="8c6cdaa3-2cee-416b-b246-ad3dc33baadd" xsi:nil="true"/>
    <Location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06F39D013CF42A7566E5E61C967D7" ma:contentTypeVersion="22" ma:contentTypeDescription="Create a new document." ma:contentTypeScope="" ma:versionID="d2b25e8a6bab54afbdea5cd1dfaf1501">
  <xsd:schema xmlns:xsd="http://www.w3.org/2001/XMLSchema" xmlns:xs="http://www.w3.org/2001/XMLSchema" xmlns:p="http://schemas.microsoft.com/office/2006/metadata/properties" xmlns:ns2="http://schemas.microsoft.com/sharepoint/v3/fields" xmlns:ns3="8c6cdaa3-2cee-416b-b246-ad3dc33baadd" xmlns:ns4="debb8f35-ae76-4bc2-afb7-c3a3c65b03b8" targetNamespace="http://schemas.microsoft.com/office/2006/metadata/properties" ma:root="true" ma:fieldsID="21b6eb17465c3f1713cc2a9d07ead742" ns2:_="" ns3:_="" ns4:_="">
    <xsd:import namespace="http://schemas.microsoft.com/sharepoint/v3/fields"/>
    <xsd:import namespace="8c6cdaa3-2cee-416b-b246-ad3dc33baadd"/>
    <xsd:import namespace="debb8f35-ae76-4bc2-afb7-c3a3c65b03b8"/>
    <xsd:element name="properties">
      <xsd:complexType>
        <xsd:sequence>
          <xsd:element name="documentManagement">
            <xsd:complexType>
              <xsd:all>
                <xsd:element ref="ns2: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5" nillable="true" ma:displayName="Location" ma:description="" ma:internalName="Loca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cdaa3-2cee-416b-b246-ad3dc33baad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5347e7a4-4d74-4708-b8fc-302dad2d0844}" ma:internalName="TaxCatchAll" ma:showField="CatchAllData" ma:web="8c6cdaa3-2cee-416b-b246-ad3dc33ba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b8f35-ae76-4bc2-afb7-c3a3c65b03b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842dfc5-13bc-413d-b12b-68dbd3cc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514F5-A2F5-401E-903F-5E0C0CC29F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802D7A-329F-4E76-903D-DE8333B5289C}">
  <ds:schemaRefs>
    <ds:schemaRef ds:uri="http://schemas.microsoft.com/office/2006/metadata/properties"/>
    <ds:schemaRef ds:uri="http://schemas.microsoft.com/office/infopath/2007/PartnerControls"/>
    <ds:schemaRef ds:uri="debb8f35-ae76-4bc2-afb7-c3a3c65b03b8"/>
    <ds:schemaRef ds:uri="8c6cdaa3-2cee-416b-b246-ad3dc33baadd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C893478B-E519-4567-9195-7ED1E52D3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8c6cdaa3-2cee-416b-b246-ad3dc33baadd"/>
    <ds:schemaRef ds:uri="debb8f35-ae76-4bc2-afb7-c3a3c65b03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b6f9e29-640b-438e-82e2-995285e96dd4}" enabled="1" method="Standard" siteId="{078256a4-c4a0-4e95-b107-2ae7d5db858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EACIE</vt:lpstr>
      <vt:lpstr>PSE</vt:lpstr>
      <vt:lpstr>Data</vt:lpstr>
      <vt:lpstr>Apollo</vt:lpstr>
      <vt:lpstr>Device</vt:lpstr>
      <vt:lpstr>NBRLED</vt:lpstr>
      <vt:lpstr>EACIE!Print_Area</vt:lpstr>
    </vt:vector>
  </TitlesOfParts>
  <Company>Advanced Electronics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Duffy</dc:creator>
  <cp:lastModifiedBy>Joanne Waddell</cp:lastModifiedBy>
  <cp:lastPrinted>2012-04-04T17:28:37Z</cp:lastPrinted>
  <dcterms:created xsi:type="dcterms:W3CDTF">2010-04-07T10:28:37Z</dcterms:created>
  <dcterms:modified xsi:type="dcterms:W3CDTF">2024-03-26T14:08:21Z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0x0101006ED06F39D013CF42A7566E5E61C967D7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